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596" yWindow="216" windowWidth="10728" windowHeight="8076" tabRatio="601" firstSheet="1" activeTab="1"/>
  </bookViews>
  <sheets>
    <sheet name="Budget Summary" sheetId="9" state="hidden" r:id="rId1"/>
    <sheet name="Budget" sheetId="10" r:id="rId2"/>
    <sheet name="Budget archive" sheetId="5" state="hidden" r:id="rId3"/>
    <sheet name="Rev Input" sheetId="8" r:id="rId4"/>
    <sheet name="Payroll" sheetId="1" r:id="rId5"/>
    <sheet name="Payroll Mid" sheetId="11" state="hidden" r:id="rId6"/>
    <sheet name=" Expense Input" sheetId="6" r:id="rId7"/>
    <sheet name="CLS FY15" sheetId="17" state="hidden" r:id="rId8"/>
    <sheet name="PR " sheetId="18" state="hidden" r:id="rId9"/>
    <sheet name="FY14" sheetId="14" state="hidden" r:id="rId10"/>
    <sheet name="FY14 PR" sheetId="15" state="hidden" r:id="rId11"/>
    <sheet name="API CF Apr 10" sheetId="13" state="hidden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1_0g">[1]SUMMARY!#REF!</definedName>
    <definedName name="_2g">[1]SUMMARY!#REF!</definedName>
    <definedName name="_xlnm._FilterDatabase" localSheetId="6" hidden="1">' Expense Input'!$P$1:$P$148</definedName>
    <definedName name="_xlnm._FilterDatabase" localSheetId="1" hidden="1">Budget!$I$1:$I$256</definedName>
    <definedName name="_xlnm._FilterDatabase" localSheetId="2" hidden="1">'Budget archive'!$H$1:$H$191</definedName>
    <definedName name="_xlnm._FilterDatabase" localSheetId="0" hidden="1">'Budget Summary'!#REF!</definedName>
    <definedName name="_xlnm._FilterDatabase" localSheetId="4" hidden="1">Payroll!$N$1:$N$146</definedName>
    <definedName name="_xlnm._FilterDatabase" localSheetId="5" hidden="1">'Payroll Mid'!$N$1:$N$111</definedName>
    <definedName name="_xlnm._FilterDatabase" localSheetId="3" hidden="1">'Rev Input'!$P$1:$P$187</definedName>
    <definedName name="_grp1">[2]SUMMARY!#REF!</definedName>
    <definedName name="CAP" localSheetId="6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0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5" hidden="1">{#N/A,#N/A,FALSE,"Summation";#N/A,#N/A,FALSE,"BSA";#N/A,#N/A,FALSE,"Detail1";#N/A,#N/A,FALSE,"Detail2";#N/A,#N/A,FALSE,"Detail3";#N/A,#N/A,FALSE,"WFTE_Summary";#N/A,#N/A,FALSE,"Funded_WFTE";#N/A,#N/A,FALSE,"PYADJ96"}</definedName>
    <definedName name="CAP" hidden="1">{#N/A,#N/A,FALSE,"Summation";#N/A,#N/A,FALSE,"BSA";#N/A,#N/A,FALSE,"Detail1";#N/A,#N/A,FALSE,"Detail2";#N/A,#N/A,FALSE,"Detail3";#N/A,#N/A,FALSE,"WFTE_Summary";#N/A,#N/A,FALSE,"Funded_WFTE";#N/A,#N/A,FALSE,"PYADJ96"}</definedName>
    <definedName name="d_grp1">[1]SUMMARY!#REF!</definedName>
    <definedName name="EnrNew">'Rev Input'!$M$39</definedName>
    <definedName name="EnrOld">'Rev Input'!$M$38</definedName>
    <definedName name="ExpInf">#REF!</definedName>
    <definedName name="GSFA" localSheetId="6">[3]PBEDL!#REF!</definedName>
    <definedName name="GSFA" localSheetId="1">[3]PBEDL!#REF!</definedName>
    <definedName name="GSFA" localSheetId="2">[3]PBEDL!#REF!</definedName>
    <definedName name="GSFA" localSheetId="0">[3]PBEDL!#REF!</definedName>
    <definedName name="GSFA">[4]Data!#REF!</definedName>
    <definedName name="HTML_CodePage" hidden="1">1252</definedName>
    <definedName name="HTML_Control" localSheetId="6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0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5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hidden="1">{"'AssumptionsHTML'!$B$9:$E$357","'SummationHTML'!$A$4:$J$93","'Difference'!$A$11:$K$101","'DifferenceFTE'!$A$11:$K$101","'Detail1'!$A$11:$I$97","'Detail2'!$A$11:$J$97","'Detail3'!$A$11:$J$97","'Categorical1'!$A$11:$L$97"}</definedName>
    <definedName name="HTML_Description" hidden="1">""</definedName>
    <definedName name="HTML_Email" hidden="1">""</definedName>
    <definedName name="HTML_Header" hidden="1">""</definedName>
    <definedName name="HTML_LastUpdate" hidden="1">"9/4/97"</definedName>
    <definedName name="HTML_LineAfter" hidden="1">FALSE</definedName>
    <definedName name="HTML_LineBefore" hidden="1">FALSE</definedName>
    <definedName name="HTML_Name" hidden="1">"David Montford"</definedName>
    <definedName name="HTML_OBDlg2" hidden="1">TRUE</definedName>
    <definedName name="HTML_OBDlg4" hidden="1">TRUE</definedName>
    <definedName name="HTML_OS" hidden="1">0</definedName>
    <definedName name="HTML_PathFile" hidden="1">"H:\XLFILES\test.htm"</definedName>
    <definedName name="HTML_Title" hidden="1">""</definedName>
    <definedName name="Inf">'Rev Input'!$M$41</definedName>
    <definedName name="Mgr" localSheetId="6">[3]PBEDL!#REF!</definedName>
    <definedName name="Mgr" localSheetId="1">[3]PBEDL!#REF!</definedName>
    <definedName name="Mgr" localSheetId="2">[3]PBEDL!#REF!</definedName>
    <definedName name="Mgr" localSheetId="0">[3]PBEDL!#REF!</definedName>
    <definedName name="Mgr">[4]Data!#REF!</definedName>
    <definedName name="PRACTICE" localSheetId="6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0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5" hidden="1">{#N/A,#N/A,FALSE,"Summation";#N/A,#N/A,FALSE,"BSA";#N/A,#N/A,FALSE,"Detail1";#N/A,#N/A,FALSE,"Detail2";#N/A,#N/A,FALSE,"Detail3";#N/A,#N/A,FALSE,"WFTE_Summary";#N/A,#N/A,FALSE,"Funded_WFTE";#N/A,#N/A,FALSE,"PYADJ96"}</definedName>
    <definedName name="PRACTICE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6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0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5" hidden="1">{#N/A,#N/A,FALSE,"Summation";#N/A,#N/A,FALSE,"BSA";#N/A,#N/A,FALSE,"Detail1";#N/A,#N/A,FALSE,"Detail2";#N/A,#N/A,FALSE,"Detail3";#N/A,#N/A,FALSE,"WFTE_Summary";#N/A,#N/A,FALSE,"Funded_WFTE";#N/A,#N/A,FALSE,"PYADJ96"}</definedName>
    <definedName name="PRACTOCE" hidden="1">{#N/A,#N/A,FALSE,"Summation";#N/A,#N/A,FALSE,"BSA";#N/A,#N/A,FALSE,"Detail1";#N/A,#N/A,FALSE,"Detail2";#N/A,#N/A,FALSE,"Detail3";#N/A,#N/A,FALSE,"WFTE_Summary";#N/A,#N/A,FALSE,"Funded_WFTE";#N/A,#N/A,FALSE,"PYADJ96"}</definedName>
    <definedName name="PRInf">'Rev Input'!$M$42</definedName>
    <definedName name="print">'[5]Forecast WS'!$A$6:$R$142</definedName>
    <definedName name="_xlnm.Print_Area" localSheetId="0">'Budget Summary'!$A$1:$G$150</definedName>
    <definedName name="_xlnm.Print_Titles" localSheetId="6">' Expense Input'!$1:$7</definedName>
    <definedName name="_xlnm.Print_Titles" localSheetId="1">Budget!$1:$7</definedName>
    <definedName name="_xlnm.Print_Titles" localSheetId="2">'Budget archive'!$1:$7</definedName>
    <definedName name="_xlnm.Print_Titles" localSheetId="0">'Budget Summary'!$1:$6</definedName>
    <definedName name="_xlnm.Print_Titles" localSheetId="4">Payroll!$11:$13</definedName>
    <definedName name="_xlnm.Print_Titles" localSheetId="5">'Payroll Mid'!$11:$13</definedName>
    <definedName name="RevInf">'Rev Input'!$M$40</definedName>
    <definedName name="wrn.Base._.Data._.Comparison." localSheetId="6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0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5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hidden="1">{#N/A,#N/A,FALSE,"Summation";#N/A,#N/A,FALSE,"BSA";#N/A,#N/A,FALSE,"Detail1";#N/A,#N/A,FALSE,"Detail2";#N/A,#N/A,FALSE,"Detail3";#N/A,#N/A,FALSE,"WFTE_Summary";#N/A,#N/A,FALSE,"Funded_WFTE";#N/A,#N/A,FALSE,"PYADJ96"}</definedName>
    <definedName name="wrn.SecondCalc9798." localSheetId="6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0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5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</definedNames>
  <calcPr calcId="145621"/>
</workbook>
</file>

<file path=xl/calcChain.xml><?xml version="1.0" encoding="utf-8"?>
<calcChain xmlns="http://schemas.openxmlformats.org/spreadsheetml/2006/main">
  <c r="A55" i="1" l="1"/>
  <c r="E55" i="1"/>
  <c r="F55" i="1"/>
  <c r="H55" i="1"/>
  <c r="I55" i="1"/>
  <c r="K55" i="1"/>
  <c r="L55" i="1"/>
  <c r="M55" i="1" s="1"/>
  <c r="N55" i="1" s="1"/>
  <c r="E56" i="1"/>
  <c r="F56" i="1"/>
  <c r="H56" i="1"/>
  <c r="I56" i="1"/>
  <c r="M56" i="1" s="1"/>
  <c r="N56" i="1" s="1"/>
  <c r="K56" i="1"/>
  <c r="L56" i="1"/>
  <c r="E57" i="1"/>
  <c r="F57" i="1"/>
  <c r="H57" i="1"/>
  <c r="I57" i="1"/>
  <c r="M57" i="1" s="1"/>
  <c r="N57" i="1" s="1"/>
  <c r="K57" i="1"/>
  <c r="L57" i="1"/>
  <c r="E58" i="1"/>
  <c r="F58" i="1"/>
  <c r="H58" i="1"/>
  <c r="I58" i="1"/>
  <c r="M58" i="1" s="1"/>
  <c r="N58" i="1" s="1"/>
  <c r="K58" i="1"/>
  <c r="L58" i="1"/>
  <c r="A59" i="1"/>
  <c r="E59" i="1"/>
  <c r="F59" i="1"/>
  <c r="H59" i="1"/>
  <c r="I59" i="1"/>
  <c r="M59" i="1" s="1"/>
  <c r="N59" i="1" s="1"/>
  <c r="K59" i="1"/>
  <c r="L59" i="1"/>
  <c r="A45" i="1"/>
  <c r="D45" i="1"/>
  <c r="G45" i="1"/>
  <c r="E44" i="1"/>
  <c r="E43" i="1"/>
  <c r="E42" i="1"/>
  <c r="E45" i="1" s="1"/>
  <c r="M11" i="6"/>
  <c r="E97" i="1"/>
  <c r="E95" i="1"/>
  <c r="E96" i="1"/>
  <c r="E98" i="1"/>
  <c r="E112" i="1"/>
  <c r="E60" i="1"/>
  <c r="E61" i="1"/>
  <c r="I135" i="1"/>
  <c r="I132" i="1"/>
  <c r="I131" i="1"/>
  <c r="I128" i="1"/>
  <c r="I127" i="1"/>
  <c r="I124" i="1"/>
  <c r="I123" i="1"/>
  <c r="I122" i="1"/>
  <c r="I121" i="1"/>
  <c r="I120" i="1"/>
  <c r="I117" i="1"/>
  <c r="I116" i="1"/>
  <c r="I113" i="1"/>
  <c r="I112" i="1"/>
  <c r="I111" i="1"/>
  <c r="I108" i="1"/>
  <c r="I107" i="1"/>
  <c r="I104" i="1"/>
  <c r="I103" i="1"/>
  <c r="I100" i="1"/>
  <c r="I99" i="1"/>
  <c r="I98" i="1"/>
  <c r="I97" i="1"/>
  <c r="I96" i="1"/>
  <c r="I95" i="1"/>
  <c r="I94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4" i="1"/>
  <c r="I53" i="1"/>
  <c r="I50" i="1"/>
  <c r="I49" i="1"/>
  <c r="I48" i="1"/>
  <c r="I47" i="1"/>
  <c r="I44" i="1"/>
  <c r="I43" i="1"/>
  <c r="I42" i="1"/>
  <c r="I45" i="1" s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T18" i="17"/>
  <c r="T17" i="17"/>
  <c r="U16" i="17" l="1"/>
  <c r="U17" i="17"/>
  <c r="U18" i="17"/>
  <c r="U19" i="17"/>
  <c r="U20" i="17"/>
  <c r="U21" i="17"/>
  <c r="T20" i="17"/>
  <c r="T21" i="17" s="1"/>
  <c r="R40" i="17"/>
  <c r="T19" i="17"/>
  <c r="T16" i="17"/>
  <c r="T15" i="17"/>
  <c r="M13" i="18"/>
  <c r="L13" i="18"/>
  <c r="M11" i="18"/>
  <c r="L11" i="18"/>
  <c r="M6" i="18"/>
  <c r="L6" i="18"/>
  <c r="E16" i="1"/>
  <c r="E15" i="1"/>
  <c r="L4" i="18"/>
  <c r="M4" i="18"/>
  <c r="L5" i="18"/>
  <c r="M5" i="18"/>
  <c r="L7" i="18"/>
  <c r="M7" i="18"/>
  <c r="L8" i="18"/>
  <c r="M8" i="18"/>
  <c r="L9" i="18"/>
  <c r="M9" i="18"/>
  <c r="L10" i="18"/>
  <c r="M10" i="18"/>
  <c r="L12" i="18"/>
  <c r="M12" i="18"/>
  <c r="L14" i="18"/>
  <c r="M14" i="18"/>
  <c r="L15" i="18"/>
  <c r="M15" i="18"/>
  <c r="L16" i="18"/>
  <c r="M16" i="18"/>
  <c r="L17" i="18"/>
  <c r="M17" i="18"/>
  <c r="L18" i="18"/>
  <c r="M18" i="18"/>
  <c r="M40" i="6" l="1"/>
  <c r="B13" i="10"/>
  <c r="C13" i="10"/>
  <c r="D13" i="10"/>
  <c r="E13" i="10"/>
  <c r="G13" i="10"/>
  <c r="B14" i="10"/>
  <c r="C14" i="10"/>
  <c r="D14" i="10"/>
  <c r="E14" i="10"/>
  <c r="G14" i="10"/>
  <c r="H14" i="10"/>
  <c r="B15" i="10"/>
  <c r="C15" i="10"/>
  <c r="D15" i="10"/>
  <c r="E15" i="10"/>
  <c r="G15" i="10"/>
  <c r="B16" i="10"/>
  <c r="C16" i="10"/>
  <c r="D16" i="10"/>
  <c r="E16" i="10"/>
  <c r="G16" i="10"/>
  <c r="B17" i="10"/>
  <c r="C17" i="10"/>
  <c r="D17" i="10"/>
  <c r="E17" i="10"/>
  <c r="G17" i="10"/>
  <c r="B18" i="10"/>
  <c r="C18" i="10"/>
  <c r="D18" i="10"/>
  <c r="E18" i="10"/>
  <c r="G18" i="10"/>
  <c r="B19" i="10"/>
  <c r="C19" i="10"/>
  <c r="D19" i="10"/>
  <c r="E19" i="10"/>
  <c r="G19" i="10"/>
  <c r="B20" i="10"/>
  <c r="C20" i="10"/>
  <c r="D20" i="10"/>
  <c r="E20" i="10"/>
  <c r="G20" i="10"/>
  <c r="H20" i="10"/>
  <c r="M42" i="6" l="1"/>
  <c r="M14" i="6"/>
  <c r="M13" i="6"/>
  <c r="M12" i="6"/>
  <c r="M16" i="6"/>
  <c r="M44" i="8"/>
  <c r="M45" i="8" s="1"/>
  <c r="R80" i="17"/>
  <c r="R79" i="17"/>
  <c r="R78" i="17"/>
  <c r="R77" i="17"/>
  <c r="R76" i="17"/>
  <c r="R75" i="17"/>
  <c r="R74" i="17"/>
  <c r="R73" i="17"/>
  <c r="R72" i="17"/>
  <c r="R71" i="17"/>
  <c r="R70" i="17"/>
  <c r="R69" i="17"/>
  <c r="R68" i="17"/>
  <c r="R67" i="17"/>
  <c r="R66" i="17"/>
  <c r="R65" i="17"/>
  <c r="R64" i="17"/>
  <c r="R63" i="17"/>
  <c r="R62" i="17"/>
  <c r="R61" i="17"/>
  <c r="R60" i="17"/>
  <c r="R59" i="17"/>
  <c r="R58" i="17"/>
  <c r="R57" i="17"/>
  <c r="R56" i="17"/>
  <c r="R55" i="17"/>
  <c r="R54" i="17"/>
  <c r="R53" i="17"/>
  <c r="R52" i="17"/>
  <c r="R51" i="17"/>
  <c r="R50" i="17"/>
  <c r="R49" i="17"/>
  <c r="R48" i="17"/>
  <c r="R47" i="17"/>
  <c r="R46" i="17"/>
  <c r="R45" i="17"/>
  <c r="R44" i="17"/>
  <c r="R43" i="17"/>
  <c r="R39" i="17"/>
  <c r="R38" i="17"/>
  <c r="R37" i="17"/>
  <c r="R36" i="17"/>
  <c r="R35" i="17"/>
  <c r="R34" i="17"/>
  <c r="R33" i="17"/>
  <c r="R32" i="17"/>
  <c r="R31" i="17"/>
  <c r="R30" i="17"/>
  <c r="R29" i="17"/>
  <c r="R28" i="17"/>
  <c r="R27" i="17"/>
  <c r="R26" i="17"/>
  <c r="R25" i="17"/>
  <c r="R24" i="17"/>
  <c r="R23" i="17"/>
  <c r="R22" i="17"/>
  <c r="R21" i="17"/>
  <c r="R20" i="17"/>
  <c r="R19" i="17"/>
  <c r="R18" i="17"/>
  <c r="R17" i="17"/>
  <c r="R16" i="17"/>
  <c r="R15" i="17"/>
  <c r="R11" i="17"/>
  <c r="R10" i="17"/>
  <c r="R9" i="17"/>
  <c r="R8" i="17"/>
  <c r="R7" i="17"/>
  <c r="R6" i="17"/>
  <c r="R5" i="17"/>
  <c r="R4" i="17"/>
  <c r="R3" i="17"/>
  <c r="M46" i="8" l="1"/>
  <c r="M9" i="6"/>
  <c r="M15" i="8" l="1"/>
  <c r="H16" i="10" s="1"/>
  <c r="M11" i="8"/>
  <c r="M12" i="8"/>
  <c r="M14" i="8"/>
  <c r="H15" i="10" s="1"/>
  <c r="M16" i="8"/>
  <c r="H17" i="10" s="1"/>
  <c r="M17" i="8"/>
  <c r="H18" i="10" s="1"/>
  <c r="M18" i="8"/>
  <c r="H19" i="10" s="1"/>
  <c r="H13" i="10" l="1"/>
  <c r="M48" i="8"/>
  <c r="M38" i="6" s="1"/>
  <c r="D101" i="1"/>
  <c r="D74" i="1"/>
  <c r="E111" i="1"/>
  <c r="E99" i="1"/>
  <c r="E18" i="1"/>
  <c r="E17" i="1"/>
  <c r="P37" i="10" l="1"/>
  <c r="P38" i="10"/>
  <c r="P39" i="10"/>
  <c r="P40" i="10"/>
  <c r="P41" i="10"/>
  <c r="P42" i="10"/>
  <c r="P43" i="10"/>
  <c r="O56" i="10"/>
  <c r="P56" i="10"/>
  <c r="O57" i="10"/>
  <c r="P57" i="10"/>
  <c r="P58" i="10"/>
  <c r="O59" i="10"/>
  <c r="P59" i="10"/>
  <c r="P60" i="10"/>
  <c r="P61" i="10"/>
  <c r="P62" i="10"/>
  <c r="P63" i="10"/>
  <c r="P64" i="10"/>
  <c r="P65" i="10"/>
  <c r="O66" i="10"/>
  <c r="P66" i="10"/>
  <c r="O67" i="10"/>
  <c r="P67" i="10"/>
  <c r="O68" i="10"/>
  <c r="P68" i="10"/>
  <c r="P69" i="10"/>
  <c r="O70" i="10"/>
  <c r="P70" i="10"/>
  <c r="P71" i="10"/>
  <c r="P72" i="10"/>
  <c r="P73" i="10"/>
  <c r="P74" i="10"/>
  <c r="P75" i="10"/>
  <c r="P76" i="10"/>
  <c r="O78" i="10"/>
  <c r="P78" i="10"/>
  <c r="P79" i="10"/>
  <c r="O80" i="10"/>
  <c r="P80" i="10"/>
  <c r="P81" i="10"/>
  <c r="P82" i="10"/>
  <c r="P83" i="10"/>
  <c r="P84" i="10"/>
  <c r="P85" i="10"/>
  <c r="P86" i="10"/>
  <c r="O87" i="10"/>
  <c r="P87" i="10"/>
  <c r="P88" i="10"/>
  <c r="O89" i="10"/>
  <c r="P89" i="10"/>
  <c r="O91" i="10"/>
  <c r="P91" i="10"/>
  <c r="P92" i="10"/>
  <c r="O93" i="10"/>
  <c r="P93" i="10"/>
  <c r="O94" i="10"/>
  <c r="P94" i="10"/>
  <c r="O96" i="10"/>
  <c r="P96" i="10"/>
  <c r="P97" i="10"/>
  <c r="O98" i="10"/>
  <c r="P98" i="10"/>
  <c r="O99" i="10"/>
  <c r="P99" i="10"/>
  <c r="O100" i="10"/>
  <c r="P100" i="10"/>
  <c r="O102" i="10"/>
  <c r="P102" i="10"/>
  <c r="O103" i="10"/>
  <c r="P103" i="10"/>
  <c r="O104" i="10"/>
  <c r="P104" i="10"/>
  <c r="O105" i="10"/>
  <c r="P105" i="10"/>
  <c r="O106" i="10"/>
  <c r="P106" i="10"/>
  <c r="O107" i="10"/>
  <c r="P107" i="10"/>
  <c r="O108" i="10"/>
  <c r="P108" i="10"/>
  <c r="O109" i="10"/>
  <c r="P109" i="10"/>
  <c r="P110" i="10"/>
  <c r="O111" i="10"/>
  <c r="P111" i="10"/>
  <c r="O112" i="10"/>
  <c r="P112" i="10"/>
  <c r="O113" i="10"/>
  <c r="P113" i="10"/>
  <c r="O114" i="10"/>
  <c r="P114" i="10"/>
  <c r="O115" i="10"/>
  <c r="P115" i="10"/>
  <c r="O116" i="10"/>
  <c r="P116" i="10"/>
  <c r="O122" i="10"/>
  <c r="P122" i="10"/>
  <c r="O123" i="10"/>
  <c r="P123" i="10"/>
  <c r="O124" i="10"/>
  <c r="P124" i="10"/>
  <c r="O125" i="10"/>
  <c r="P125" i="10"/>
  <c r="O126" i="10"/>
  <c r="P126" i="10"/>
  <c r="O127" i="10"/>
  <c r="P127" i="10"/>
  <c r="O128" i="10"/>
  <c r="P128" i="10"/>
  <c r="O129" i="10"/>
  <c r="P129" i="10"/>
  <c r="O130" i="10"/>
  <c r="P130" i="10"/>
  <c r="O131" i="10"/>
  <c r="P131" i="10"/>
  <c r="P132" i="10"/>
  <c r="O133" i="10"/>
  <c r="P133" i="10"/>
  <c r="P134" i="10"/>
  <c r="P135" i="10"/>
  <c r="P136" i="10"/>
  <c r="P137" i="10"/>
  <c r="P138" i="10"/>
  <c r="P139" i="10"/>
  <c r="P140" i="10"/>
  <c r="O141" i="10"/>
  <c r="P141" i="10"/>
  <c r="O142" i="10"/>
  <c r="P142" i="10"/>
  <c r="O143" i="10"/>
  <c r="P143" i="10"/>
  <c r="O150" i="10"/>
  <c r="P150" i="10"/>
  <c r="O151" i="10"/>
  <c r="P151" i="10"/>
  <c r="O152" i="10"/>
  <c r="P152" i="10"/>
  <c r="O153" i="10"/>
  <c r="P153" i="10"/>
  <c r="O154" i="10"/>
  <c r="P154" i="10"/>
  <c r="O155" i="10"/>
  <c r="P155" i="10"/>
  <c r="O156" i="10"/>
  <c r="P156" i="10"/>
  <c r="P157" i="10"/>
  <c r="O158" i="10"/>
  <c r="P158" i="10"/>
  <c r="O161" i="10"/>
  <c r="P161" i="10"/>
  <c r="O162" i="10"/>
  <c r="P162" i="10"/>
  <c r="O163" i="10"/>
  <c r="P163" i="10"/>
  <c r="P164" i="10"/>
  <c r="O165" i="10"/>
  <c r="P165" i="10"/>
  <c r="O166" i="10"/>
  <c r="P166" i="10"/>
  <c r="O169" i="10"/>
  <c r="P169" i="10"/>
  <c r="O170" i="10"/>
  <c r="P170" i="10"/>
  <c r="P171" i="10"/>
  <c r="O172" i="10"/>
  <c r="P172" i="10"/>
  <c r="P173" i="10"/>
  <c r="P174" i="10"/>
  <c r="P175" i="10"/>
  <c r="P176" i="10"/>
  <c r="P177" i="10"/>
  <c r="P178" i="10"/>
  <c r="O179" i="10"/>
  <c r="P179" i="10"/>
  <c r="O180" i="10"/>
  <c r="P180" i="10"/>
  <c r="O181" i="10"/>
  <c r="P181" i="10"/>
  <c r="O182" i="10"/>
  <c r="P182" i="10"/>
  <c r="O183" i="10"/>
  <c r="P183" i="10"/>
  <c r="O184" i="10"/>
  <c r="P184" i="10"/>
  <c r="P185" i="10"/>
  <c r="O186" i="10"/>
  <c r="P186" i="10"/>
  <c r="P187" i="10"/>
  <c r="P188" i="10"/>
  <c r="P189" i="10"/>
  <c r="P190" i="10"/>
  <c r="P191" i="10"/>
  <c r="P192" i="10"/>
  <c r="O197" i="10"/>
  <c r="P197" i="10"/>
  <c r="O198" i="10"/>
  <c r="P198" i="10"/>
  <c r="O199" i="10"/>
  <c r="P199" i="10"/>
  <c r="O200" i="10"/>
  <c r="P200" i="10"/>
  <c r="O201" i="10"/>
  <c r="P201" i="10"/>
  <c r="O202" i="10"/>
  <c r="P202" i="10"/>
  <c r="P203" i="10"/>
  <c r="O204" i="10"/>
  <c r="P204" i="10"/>
  <c r="P205" i="10"/>
  <c r="P206" i="10"/>
  <c r="P207" i="10"/>
  <c r="P208" i="10"/>
  <c r="P209" i="10"/>
  <c r="P210" i="10"/>
  <c r="O211" i="10"/>
  <c r="P211" i="10"/>
  <c r="O220" i="10"/>
  <c r="P220" i="10"/>
  <c r="O221" i="10"/>
  <c r="P221" i="10"/>
  <c r="O222" i="10"/>
  <c r="P222" i="10"/>
  <c r="P223" i="10"/>
  <c r="O224" i="10"/>
  <c r="P224" i="10"/>
  <c r="O226" i="10"/>
  <c r="P226" i="10"/>
  <c r="O227" i="10"/>
  <c r="P227" i="10"/>
  <c r="P228" i="10"/>
  <c r="O229" i="10"/>
  <c r="P229" i="10"/>
  <c r="P230" i="10"/>
  <c r="P231" i="10"/>
  <c r="P232" i="10"/>
  <c r="P233" i="10"/>
  <c r="P234" i="10"/>
  <c r="P235" i="10"/>
  <c r="O237" i="10"/>
  <c r="P237" i="10"/>
  <c r="O238" i="10"/>
  <c r="P238" i="10"/>
  <c r="O239" i="10"/>
  <c r="P239" i="10"/>
  <c r="P240" i="10"/>
  <c r="O241" i="10"/>
  <c r="P241" i="10"/>
  <c r="O242" i="10"/>
  <c r="P242" i="10"/>
  <c r="O243" i="10"/>
  <c r="P243" i="10"/>
  <c r="O244" i="10"/>
  <c r="P244" i="10"/>
  <c r="O245" i="10"/>
  <c r="P245" i="10"/>
  <c r="P246" i="10"/>
  <c r="O247" i="10"/>
  <c r="P247" i="10"/>
  <c r="O248" i="10"/>
  <c r="P248" i="10"/>
  <c r="O249" i="10"/>
  <c r="P249" i="10"/>
  <c r="P36" i="10"/>
  <c r="K111" i="1"/>
  <c r="L111" i="1"/>
  <c r="H111" i="1"/>
  <c r="F111" i="1"/>
  <c r="G236" i="10"/>
  <c r="E236" i="10"/>
  <c r="O236" i="10" s="1"/>
  <c r="D236" i="10"/>
  <c r="C236" i="10"/>
  <c r="B236" i="10"/>
  <c r="G225" i="10"/>
  <c r="E225" i="10"/>
  <c r="O225" i="10" s="1"/>
  <c r="D225" i="10"/>
  <c r="C225" i="10"/>
  <c r="B225" i="10"/>
  <c r="B213" i="10"/>
  <c r="C213" i="10"/>
  <c r="D213" i="10"/>
  <c r="E213" i="10"/>
  <c r="O213" i="10" s="1"/>
  <c r="G213" i="10"/>
  <c r="B214" i="10"/>
  <c r="C214" i="10"/>
  <c r="D214" i="10"/>
  <c r="E214" i="10"/>
  <c r="O214" i="10" s="1"/>
  <c r="G214" i="10"/>
  <c r="B215" i="10"/>
  <c r="C215" i="10"/>
  <c r="D215" i="10"/>
  <c r="E215" i="10"/>
  <c r="O215" i="10" s="1"/>
  <c r="G215" i="10"/>
  <c r="B216" i="10"/>
  <c r="C216" i="10"/>
  <c r="D216" i="10"/>
  <c r="E216" i="10"/>
  <c r="O216" i="10" s="1"/>
  <c r="G216" i="10"/>
  <c r="B217" i="10"/>
  <c r="C217" i="10"/>
  <c r="D217" i="10"/>
  <c r="E217" i="10"/>
  <c r="O217" i="10" s="1"/>
  <c r="G217" i="10"/>
  <c r="B218" i="10"/>
  <c r="C218" i="10"/>
  <c r="D218" i="10"/>
  <c r="E218" i="10"/>
  <c r="O218" i="10" s="1"/>
  <c r="G218" i="10"/>
  <c r="B219" i="10"/>
  <c r="C219" i="10"/>
  <c r="D219" i="10"/>
  <c r="E219" i="10"/>
  <c r="O219" i="10" s="1"/>
  <c r="G219" i="10"/>
  <c r="G212" i="10"/>
  <c r="E212" i="10"/>
  <c r="O212" i="10" s="1"/>
  <c r="D212" i="10"/>
  <c r="C212" i="10"/>
  <c r="B212" i="10"/>
  <c r="B194" i="10"/>
  <c r="C194" i="10"/>
  <c r="D194" i="10"/>
  <c r="E194" i="10"/>
  <c r="O194" i="10" s="1"/>
  <c r="G194" i="10"/>
  <c r="B195" i="10"/>
  <c r="C195" i="10"/>
  <c r="D195" i="10"/>
  <c r="E195" i="10"/>
  <c r="O195" i="10" s="1"/>
  <c r="G195" i="10"/>
  <c r="B196" i="10"/>
  <c r="C196" i="10"/>
  <c r="D196" i="10"/>
  <c r="E196" i="10"/>
  <c r="O196" i="10" s="1"/>
  <c r="G196" i="10"/>
  <c r="O193" i="10"/>
  <c r="B168" i="10"/>
  <c r="C168" i="10"/>
  <c r="D168" i="10"/>
  <c r="E168" i="10"/>
  <c r="O168" i="10" s="1"/>
  <c r="G168" i="10"/>
  <c r="G167" i="10"/>
  <c r="E167" i="10"/>
  <c r="O167" i="10" s="1"/>
  <c r="D167" i="10"/>
  <c r="C167" i="10"/>
  <c r="B167" i="10"/>
  <c r="B160" i="10"/>
  <c r="C160" i="10"/>
  <c r="D160" i="10"/>
  <c r="E160" i="10"/>
  <c r="O160" i="10" s="1"/>
  <c r="G160" i="10"/>
  <c r="G159" i="10"/>
  <c r="E159" i="10"/>
  <c r="O159" i="10" s="1"/>
  <c r="D159" i="10"/>
  <c r="C159" i="10"/>
  <c r="B159" i="10"/>
  <c r="B147" i="10"/>
  <c r="C147" i="10"/>
  <c r="D147" i="10"/>
  <c r="E147" i="10"/>
  <c r="O147" i="10" s="1"/>
  <c r="G147" i="10"/>
  <c r="B148" i="10"/>
  <c r="C148" i="10"/>
  <c r="D148" i="10"/>
  <c r="E148" i="10"/>
  <c r="O148" i="10" s="1"/>
  <c r="G148" i="10"/>
  <c r="B149" i="10"/>
  <c r="C149" i="10"/>
  <c r="D149" i="10"/>
  <c r="E149" i="10"/>
  <c r="O149" i="10" s="1"/>
  <c r="G149" i="10"/>
  <c r="B120" i="10"/>
  <c r="C120" i="10"/>
  <c r="D120" i="10"/>
  <c r="E120" i="10"/>
  <c r="O120" i="10" s="1"/>
  <c r="G120" i="10"/>
  <c r="B121" i="10"/>
  <c r="C121" i="10"/>
  <c r="D121" i="10"/>
  <c r="E121" i="10"/>
  <c r="O121" i="10" s="1"/>
  <c r="G121" i="10"/>
  <c r="G101" i="10"/>
  <c r="E101" i="10"/>
  <c r="O101" i="10" s="1"/>
  <c r="D101" i="10"/>
  <c r="C101" i="10"/>
  <c r="B101" i="10"/>
  <c r="G95" i="10"/>
  <c r="E95" i="10"/>
  <c r="O95" i="10" s="1"/>
  <c r="D95" i="10"/>
  <c r="C95" i="10"/>
  <c r="B95" i="10"/>
  <c r="G90" i="10"/>
  <c r="E90" i="10"/>
  <c r="O90" i="10" s="1"/>
  <c r="D90" i="10"/>
  <c r="C90" i="10"/>
  <c r="B90" i="10"/>
  <c r="G77" i="10"/>
  <c r="E77" i="10"/>
  <c r="O77" i="10" s="1"/>
  <c r="D77" i="10"/>
  <c r="C77" i="10"/>
  <c r="B77" i="10"/>
  <c r="K77" i="10" s="1"/>
  <c r="B55" i="10"/>
  <c r="J55" i="10" s="1"/>
  <c r="C55" i="10"/>
  <c r="D55" i="10"/>
  <c r="E55" i="10"/>
  <c r="O55" i="10" s="1"/>
  <c r="G55" i="10"/>
  <c r="K55" i="10" l="1"/>
  <c r="J77" i="10"/>
  <c r="M49" i="6"/>
  <c r="H218" i="10" s="1"/>
  <c r="P218" i="10" s="1"/>
  <c r="M50" i="6"/>
  <c r="H219" i="10" s="1"/>
  <c r="P219" i="10" s="1"/>
  <c r="M51" i="6"/>
  <c r="H225" i="10" s="1"/>
  <c r="P225" i="10" s="1"/>
  <c r="M52" i="6"/>
  <c r="H236" i="10" s="1"/>
  <c r="P236" i="10" s="1"/>
  <c r="P193" i="10"/>
  <c r="H194" i="10"/>
  <c r="P194" i="10" s="1"/>
  <c r="H195" i="10"/>
  <c r="P195" i="10" s="1"/>
  <c r="M39" i="6"/>
  <c r="H168" i="10" s="1"/>
  <c r="P168" i="10" s="1"/>
  <c r="M36" i="6"/>
  <c r="H159" i="10" s="1"/>
  <c r="P159" i="10" s="1"/>
  <c r="M31" i="6"/>
  <c r="M32" i="6"/>
  <c r="M33" i="6"/>
  <c r="H147" i="10" s="1"/>
  <c r="P147" i="10" s="1"/>
  <c r="M34" i="6"/>
  <c r="H148" i="10" s="1"/>
  <c r="P148" i="10" s="1"/>
  <c r="M35" i="6"/>
  <c r="H149" i="10" s="1"/>
  <c r="P149" i="10" s="1"/>
  <c r="H120" i="10"/>
  <c r="P120" i="10" s="1"/>
  <c r="M26" i="6"/>
  <c r="M27" i="6"/>
  <c r="M10" i="6"/>
  <c r="P11" i="6"/>
  <c r="P13" i="6"/>
  <c r="M15" i="6"/>
  <c r="M17" i="6"/>
  <c r="M18" i="6"/>
  <c r="H55" i="10"/>
  <c r="H77" i="10"/>
  <c r="M22" i="6"/>
  <c r="H90" i="10" s="1"/>
  <c r="P90" i="10" s="1"/>
  <c r="M23" i="6"/>
  <c r="H95" i="10" s="1"/>
  <c r="P95" i="10" s="1"/>
  <c r="M24" i="6"/>
  <c r="H101" i="10" s="1"/>
  <c r="P101" i="10" s="1"/>
  <c r="P9" i="6"/>
  <c r="P10" i="6"/>
  <c r="P12" i="6"/>
  <c r="P77" i="10" l="1"/>
  <c r="I77" i="10"/>
  <c r="P55" i="10"/>
  <c r="I55" i="10"/>
  <c r="H167" i="10"/>
  <c r="P167" i="10" s="1"/>
  <c r="J254" i="10"/>
  <c r="N138" i="1"/>
  <c r="N140" i="1"/>
  <c r="N141" i="1"/>
  <c r="N142" i="1"/>
  <c r="N143" i="1"/>
  <c r="M111" i="1"/>
  <c r="G74" i="1" l="1"/>
  <c r="E51" i="1"/>
  <c r="G40" i="1"/>
  <c r="G101" i="1"/>
  <c r="H37" i="10" l="1"/>
  <c r="O37" i="10" s="1"/>
  <c r="F42" i="1"/>
  <c r="H42" i="1"/>
  <c r="L43" i="1"/>
  <c r="F43" i="1"/>
  <c r="K43" i="1"/>
  <c r="H43" i="1"/>
  <c r="E107" i="1"/>
  <c r="K193" i="10"/>
  <c r="B54" i="10"/>
  <c r="C54" i="10"/>
  <c r="D54" i="10"/>
  <c r="E54" i="10"/>
  <c r="O54" i="10" s="1"/>
  <c r="G54" i="10"/>
  <c r="B51" i="10"/>
  <c r="C51" i="10"/>
  <c r="D51" i="10"/>
  <c r="E51" i="10"/>
  <c r="O51" i="10" s="1"/>
  <c r="G51" i="10"/>
  <c r="B52" i="10"/>
  <c r="C52" i="10"/>
  <c r="D52" i="10"/>
  <c r="E52" i="10"/>
  <c r="O52" i="10" s="1"/>
  <c r="G52" i="10"/>
  <c r="B53" i="10"/>
  <c r="C53" i="10"/>
  <c r="D53" i="10"/>
  <c r="E53" i="10"/>
  <c r="O53" i="10" s="1"/>
  <c r="G53" i="10"/>
  <c r="F47" i="1"/>
  <c r="G51" i="1"/>
  <c r="K37" i="10"/>
  <c r="H47" i="1"/>
  <c r="K47" i="1"/>
  <c r="A48" i="1"/>
  <c r="F48" i="1"/>
  <c r="H48" i="1"/>
  <c r="K48" i="1"/>
  <c r="L48" i="1"/>
  <c r="K42" i="1" l="1"/>
  <c r="L42" i="1"/>
  <c r="E101" i="1"/>
  <c r="D40" i="1"/>
  <c r="M43" i="1"/>
  <c r="N43" i="1" s="1"/>
  <c r="G137" i="1"/>
  <c r="M48" i="1"/>
  <c r="N48" i="1" s="1"/>
  <c r="L47" i="1"/>
  <c r="J37" i="10"/>
  <c r="I37" i="10"/>
  <c r="L44" i="1"/>
  <c r="K44" i="1"/>
  <c r="H44" i="1"/>
  <c r="H45" i="1" s="1"/>
  <c r="F44" i="1"/>
  <c r="F45" i="1" s="1"/>
  <c r="H28" i="15"/>
  <c r="G28" i="15"/>
  <c r="F28" i="15"/>
  <c r="E28" i="15"/>
  <c r="D28" i="15"/>
  <c r="C28" i="15"/>
  <c r="L45" i="1" l="1"/>
  <c r="K45" i="1"/>
  <c r="M42" i="1"/>
  <c r="M47" i="1"/>
  <c r="N47" i="1" s="1"/>
  <c r="M44" i="1"/>
  <c r="M113" i="1"/>
  <c r="N42" i="1" l="1"/>
  <c r="M45" i="1"/>
  <c r="N45" i="1" s="1"/>
  <c r="N46" i="1" s="1"/>
  <c r="N44" i="1"/>
  <c r="X94" i="14" l="1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8" i="14"/>
  <c r="X77" i="14"/>
  <c r="X76" i="14"/>
  <c r="X75" i="14"/>
  <c r="X74" i="14"/>
  <c r="X73" i="14"/>
  <c r="X72" i="14"/>
  <c r="X71" i="14"/>
  <c r="X70" i="14"/>
  <c r="X69" i="14"/>
  <c r="X68" i="14"/>
  <c r="X67" i="14"/>
  <c r="X66" i="14"/>
  <c r="X65" i="14"/>
  <c r="X64" i="14"/>
  <c r="X63" i="14"/>
  <c r="X62" i="14"/>
  <c r="X61" i="14"/>
  <c r="X60" i="14"/>
  <c r="X59" i="14"/>
  <c r="X58" i="14"/>
  <c r="X57" i="14"/>
  <c r="X56" i="14"/>
  <c r="X55" i="14"/>
  <c r="X54" i="14"/>
  <c r="X53" i="14"/>
  <c r="X52" i="14"/>
  <c r="X51" i="14"/>
  <c r="X50" i="14"/>
  <c r="X49" i="14"/>
  <c r="X48" i="14"/>
  <c r="X47" i="14"/>
  <c r="X46" i="14"/>
  <c r="X45" i="14"/>
  <c r="X44" i="14"/>
  <c r="X43" i="14"/>
  <c r="X42" i="14"/>
  <c r="X41" i="14"/>
  <c r="X40" i="14"/>
  <c r="X39" i="14"/>
  <c r="X38" i="14"/>
  <c r="X37" i="14"/>
  <c r="X36" i="14"/>
  <c r="X35" i="14"/>
  <c r="X34" i="14"/>
  <c r="X33" i="14"/>
  <c r="X32" i="14"/>
  <c r="AA23" i="14" s="1"/>
  <c r="X31" i="14"/>
  <c r="X30" i="14"/>
  <c r="X29" i="14"/>
  <c r="X28" i="14"/>
  <c r="X27" i="14"/>
  <c r="AA25" i="14" s="1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3" i="14"/>
  <c r="X12" i="14"/>
  <c r="X11" i="14"/>
  <c r="X10" i="14"/>
  <c r="X9" i="14"/>
  <c r="X8" i="14"/>
  <c r="X7" i="14"/>
  <c r="X6" i="14"/>
  <c r="X5" i="14"/>
  <c r="M47" i="6"/>
  <c r="H216" i="10" s="1"/>
  <c r="P216" i="10" s="1"/>
  <c r="M37" i="6"/>
  <c r="H160" i="10" s="1"/>
  <c r="P160" i="10" s="1"/>
  <c r="P15" i="8"/>
  <c r="AA26" i="14" l="1"/>
  <c r="AC23" i="14"/>
  <c r="AA27" i="14"/>
  <c r="AC27" i="14" s="1"/>
  <c r="Y94" i="14"/>
  <c r="AA22" i="14"/>
  <c r="Y46" i="14"/>
  <c r="AA24" i="14"/>
  <c r="AC24" i="14" s="1"/>
  <c r="P16" i="6"/>
  <c r="H51" i="10"/>
  <c r="P51" i="10" s="1"/>
  <c r="P28" i="6"/>
  <c r="P37" i="6"/>
  <c r="P18" i="6"/>
  <c r="H53" i="10"/>
  <c r="P53" i="10" s="1"/>
  <c r="P19" i="6"/>
  <c r="H54" i="10"/>
  <c r="P54" i="10" s="1"/>
  <c r="P17" i="6"/>
  <c r="H52" i="10"/>
  <c r="P52" i="10" s="1"/>
  <c r="P20" i="6"/>
  <c r="P34" i="6"/>
  <c r="P47" i="6"/>
  <c r="AA28" i="14" l="1"/>
  <c r="AC28" i="14" s="1"/>
  <c r="AC26" i="14"/>
  <c r="AC25" i="14"/>
  <c r="I193" i="10"/>
  <c r="J193" i="10"/>
  <c r="B144" i="10"/>
  <c r="C144" i="10"/>
  <c r="D144" i="10"/>
  <c r="E144" i="10"/>
  <c r="O144" i="10" s="1"/>
  <c r="G144" i="10"/>
  <c r="B145" i="10"/>
  <c r="C145" i="10"/>
  <c r="D145" i="10"/>
  <c r="E145" i="10"/>
  <c r="O145" i="10" s="1"/>
  <c r="G145" i="10"/>
  <c r="B146" i="10"/>
  <c r="C146" i="10"/>
  <c r="D146" i="10"/>
  <c r="E146" i="10"/>
  <c r="O146" i="10" s="1"/>
  <c r="G146" i="10"/>
  <c r="B117" i="10"/>
  <c r="C117" i="10"/>
  <c r="D117" i="10"/>
  <c r="E117" i="10"/>
  <c r="O117" i="10" s="1"/>
  <c r="G117" i="10"/>
  <c r="B118" i="10"/>
  <c r="C118" i="10"/>
  <c r="D118" i="10"/>
  <c r="E118" i="10"/>
  <c r="O118" i="10" s="1"/>
  <c r="G118" i="10"/>
  <c r="B119" i="10"/>
  <c r="C119" i="10"/>
  <c r="D119" i="10"/>
  <c r="E119" i="10"/>
  <c r="O119" i="10" s="1"/>
  <c r="G119" i="10"/>
  <c r="K90" i="10"/>
  <c r="J90" i="10"/>
  <c r="I90" i="10"/>
  <c r="H96" i="1"/>
  <c r="E74" i="1"/>
  <c r="E40" i="1"/>
  <c r="H196" i="10"/>
  <c r="P196" i="10" s="1"/>
  <c r="M43" i="6"/>
  <c r="H212" i="10" s="1"/>
  <c r="P212" i="10" s="1"/>
  <c r="M44" i="6"/>
  <c r="H213" i="10" s="1"/>
  <c r="P213" i="10" s="1"/>
  <c r="M45" i="6"/>
  <c r="H214" i="10" s="1"/>
  <c r="P214" i="10" s="1"/>
  <c r="M46" i="6"/>
  <c r="H215" i="10" s="1"/>
  <c r="P215" i="10" s="1"/>
  <c r="M48" i="6"/>
  <c r="H217" i="10" s="1"/>
  <c r="P217" i="10" s="1"/>
  <c r="M25" i="6"/>
  <c r="H117" i="10" s="1"/>
  <c r="P117" i="10" s="1"/>
  <c r="I40" i="1" l="1"/>
  <c r="I74" i="1"/>
  <c r="I101" i="1"/>
  <c r="I51" i="1"/>
  <c r="K15" i="1"/>
  <c r="L15" i="1"/>
  <c r="K96" i="1"/>
  <c r="F96" i="1"/>
  <c r="L96" i="1"/>
  <c r="H41" i="10" l="1"/>
  <c r="O41" i="10" s="1"/>
  <c r="M96" i="1"/>
  <c r="N96" i="1" s="1"/>
  <c r="H118" i="10" l="1"/>
  <c r="P118" i="10" s="1"/>
  <c r="K244" i="10" l="1"/>
  <c r="K243" i="10"/>
  <c r="K238" i="10"/>
  <c r="K237" i="10"/>
  <c r="K236" i="10"/>
  <c r="K235" i="10"/>
  <c r="K234" i="10"/>
  <c r="K233" i="10"/>
  <c r="K232" i="10"/>
  <c r="K231" i="10"/>
  <c r="K230" i="10"/>
  <c r="K226" i="10"/>
  <c r="K221" i="10"/>
  <c r="K220" i="10"/>
  <c r="K211" i="10"/>
  <c r="K210" i="10"/>
  <c r="K209" i="10"/>
  <c r="K208" i="10"/>
  <c r="K207" i="10"/>
  <c r="K206" i="10"/>
  <c r="K205" i="10"/>
  <c r="K201" i="10"/>
  <c r="K200" i="10"/>
  <c r="K199" i="10"/>
  <c r="K198" i="10"/>
  <c r="K192" i="10"/>
  <c r="K191" i="10"/>
  <c r="K190" i="10"/>
  <c r="K189" i="10"/>
  <c r="K188" i="10"/>
  <c r="K187" i="10"/>
  <c r="K183" i="10"/>
  <c r="K182" i="10"/>
  <c r="K181" i="10"/>
  <c r="K180" i="10"/>
  <c r="K179" i="10"/>
  <c r="K178" i="10"/>
  <c r="K177" i="10"/>
  <c r="K176" i="10"/>
  <c r="K175" i="10"/>
  <c r="K174" i="10"/>
  <c r="K173" i="10"/>
  <c r="K169" i="10"/>
  <c r="K166" i="10"/>
  <c r="K162" i="10"/>
  <c r="K161" i="10"/>
  <c r="K155" i="10"/>
  <c r="K154" i="10"/>
  <c r="K153" i="10"/>
  <c r="K152" i="10"/>
  <c r="K151" i="10"/>
  <c r="K150" i="10"/>
  <c r="K149" i="10"/>
  <c r="K148" i="10"/>
  <c r="K147" i="10"/>
  <c r="K146" i="10"/>
  <c r="K142" i="10"/>
  <c r="K141" i="10"/>
  <c r="K140" i="10"/>
  <c r="K139" i="10"/>
  <c r="K138" i="10"/>
  <c r="K137" i="10"/>
  <c r="K136" i="10"/>
  <c r="K135" i="10"/>
  <c r="K134" i="10"/>
  <c r="K130" i="10"/>
  <c r="K129" i="10"/>
  <c r="K128" i="10"/>
  <c r="K127" i="10"/>
  <c r="K126" i="10"/>
  <c r="K125" i="10"/>
  <c r="K124" i="10"/>
  <c r="K123" i="10"/>
  <c r="K122" i="10"/>
  <c r="K121" i="10"/>
  <c r="K120" i="10"/>
  <c r="K114" i="10"/>
  <c r="K113" i="10"/>
  <c r="K112" i="10"/>
  <c r="K108" i="10"/>
  <c r="K107" i="10"/>
  <c r="K106" i="10"/>
  <c r="K105" i="10"/>
  <c r="K104" i="10"/>
  <c r="K103" i="10"/>
  <c r="K102" i="10"/>
  <c r="K100" i="10"/>
  <c r="K99" i="10"/>
  <c r="K94" i="10"/>
  <c r="K92" i="10"/>
  <c r="K86" i="10"/>
  <c r="K85" i="10"/>
  <c r="K84" i="10"/>
  <c r="K83" i="10"/>
  <c r="K82" i="10"/>
  <c r="K81" i="10"/>
  <c r="K76" i="10"/>
  <c r="K75" i="10"/>
  <c r="K74" i="10"/>
  <c r="K73" i="10"/>
  <c r="K72" i="10"/>
  <c r="K71" i="10"/>
  <c r="K67" i="10"/>
  <c r="K66" i="10"/>
  <c r="K65" i="10"/>
  <c r="K64" i="10"/>
  <c r="K63" i="10"/>
  <c r="K62" i="10"/>
  <c r="K61" i="10"/>
  <c r="K60" i="10"/>
  <c r="K56" i="10"/>
  <c r="K43" i="10"/>
  <c r="K42" i="10"/>
  <c r="K41" i="10"/>
  <c r="K40" i="10"/>
  <c r="K39" i="10"/>
  <c r="K38" i="10"/>
  <c r="K36" i="10"/>
  <c r="K23" i="10"/>
  <c r="K24" i="10"/>
  <c r="K25" i="10"/>
  <c r="K26" i="10"/>
  <c r="K27" i="10"/>
  <c r="K28" i="10"/>
  <c r="K29" i="10"/>
  <c r="K30" i="10"/>
  <c r="J23" i="10"/>
  <c r="J25" i="10"/>
  <c r="J26" i="10"/>
  <c r="J27" i="10"/>
  <c r="J28" i="10"/>
  <c r="J29" i="10"/>
  <c r="J30" i="10"/>
  <c r="J56" i="10"/>
  <c r="J66" i="10"/>
  <c r="J67" i="10"/>
  <c r="J92" i="10"/>
  <c r="J94" i="10"/>
  <c r="J99" i="10"/>
  <c r="J100" i="10"/>
  <c r="J102" i="10"/>
  <c r="J103" i="10"/>
  <c r="J104" i="10"/>
  <c r="J105" i="10"/>
  <c r="J106" i="10"/>
  <c r="J107" i="10"/>
  <c r="J108" i="10"/>
  <c r="J112" i="10"/>
  <c r="J113" i="10"/>
  <c r="J114" i="10"/>
  <c r="J120" i="10"/>
  <c r="J122" i="10"/>
  <c r="J123" i="10"/>
  <c r="J124" i="10"/>
  <c r="J125" i="10"/>
  <c r="J126" i="10"/>
  <c r="J127" i="10"/>
  <c r="J128" i="10"/>
  <c r="J129" i="10"/>
  <c r="J130" i="10"/>
  <c r="J141" i="10"/>
  <c r="J142" i="10"/>
  <c r="J147" i="10"/>
  <c r="J148" i="10"/>
  <c r="J149" i="10"/>
  <c r="J150" i="10"/>
  <c r="J151" i="10"/>
  <c r="J152" i="10"/>
  <c r="J153" i="10"/>
  <c r="J154" i="10"/>
  <c r="J155" i="10"/>
  <c r="J161" i="10"/>
  <c r="J162" i="10"/>
  <c r="J166" i="10"/>
  <c r="J169" i="10"/>
  <c r="J173" i="10"/>
  <c r="J174" i="10"/>
  <c r="J175" i="10"/>
  <c r="J176" i="10"/>
  <c r="J177" i="10"/>
  <c r="J178" i="10"/>
  <c r="J179" i="10"/>
  <c r="J180" i="10"/>
  <c r="J181" i="10"/>
  <c r="J182" i="10"/>
  <c r="J183" i="10"/>
  <c r="J198" i="10"/>
  <c r="J199" i="10"/>
  <c r="J200" i="10"/>
  <c r="J201" i="10"/>
  <c r="J211" i="10"/>
  <c r="J220" i="10"/>
  <c r="J221" i="10"/>
  <c r="J226" i="10"/>
  <c r="J230" i="10"/>
  <c r="J231" i="10"/>
  <c r="J232" i="10"/>
  <c r="J233" i="10"/>
  <c r="J234" i="10"/>
  <c r="J235" i="10"/>
  <c r="J236" i="10"/>
  <c r="J237" i="10"/>
  <c r="J238" i="10"/>
  <c r="J243" i="10"/>
  <c r="J244" i="10"/>
  <c r="K242" i="10"/>
  <c r="K225" i="10"/>
  <c r="K217" i="10"/>
  <c r="K218" i="10"/>
  <c r="K219" i="10"/>
  <c r="I220" i="10"/>
  <c r="K197" i="10"/>
  <c r="K168" i="10"/>
  <c r="I149" i="10"/>
  <c r="I150" i="10"/>
  <c r="I151" i="10"/>
  <c r="I152" i="10"/>
  <c r="I148" i="10"/>
  <c r="I147" i="10"/>
  <c r="K118" i="10"/>
  <c r="K119" i="10"/>
  <c r="I120" i="10"/>
  <c r="I122" i="10"/>
  <c r="I123" i="10"/>
  <c r="I124" i="10"/>
  <c r="I125" i="10"/>
  <c r="I126" i="10"/>
  <c r="I127" i="10"/>
  <c r="I128" i="10"/>
  <c r="K95" i="10"/>
  <c r="K97" i="10" s="1"/>
  <c r="K52" i="10"/>
  <c r="K53" i="10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4" i="1"/>
  <c r="F23" i="1"/>
  <c r="F22" i="1"/>
  <c r="F21" i="1"/>
  <c r="F20" i="1"/>
  <c r="F19" i="1"/>
  <c r="F18" i="1"/>
  <c r="F15" i="1"/>
  <c r="F14" i="1"/>
  <c r="F50" i="1"/>
  <c r="F49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3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100" i="1"/>
  <c r="F99" i="1"/>
  <c r="F98" i="1"/>
  <c r="F104" i="1"/>
  <c r="F107" i="1"/>
  <c r="F112" i="1"/>
  <c r="F117" i="1"/>
  <c r="F116" i="1"/>
  <c r="F124" i="1"/>
  <c r="F123" i="1"/>
  <c r="F122" i="1"/>
  <c r="F121" i="1"/>
  <c r="F120" i="1"/>
  <c r="F128" i="1"/>
  <c r="F127" i="1"/>
  <c r="F132" i="1"/>
  <c r="F131" i="1"/>
  <c r="F135" i="1"/>
  <c r="F51" i="1" l="1"/>
  <c r="K160" i="10"/>
  <c r="J160" i="10"/>
  <c r="K101" i="10"/>
  <c r="K110" i="10" s="1"/>
  <c r="K54" i="10"/>
  <c r="K88" i="10"/>
  <c r="J185" i="10"/>
  <c r="J240" i="10"/>
  <c r="K69" i="10"/>
  <c r="K228" i="10"/>
  <c r="K240" i="10"/>
  <c r="K246" i="10"/>
  <c r="K185" i="10"/>
  <c r="K79" i="10"/>
  <c r="F54" i="1"/>
  <c r="F95" i="1"/>
  <c r="F97" i="1" l="1"/>
  <c r="F101" i="1" s="1"/>
  <c r="F17" i="1"/>
  <c r="F16" i="1"/>
  <c r="L97" i="1"/>
  <c r="K97" i="1"/>
  <c r="H97" i="1"/>
  <c r="L98" i="1"/>
  <c r="K98" i="1"/>
  <c r="H98" i="1"/>
  <c r="L95" i="1"/>
  <c r="K95" i="1"/>
  <c r="H95" i="1"/>
  <c r="L99" i="1"/>
  <c r="K99" i="1"/>
  <c r="H99" i="1"/>
  <c r="F74" i="1" l="1"/>
  <c r="F40" i="1"/>
  <c r="M99" i="1"/>
  <c r="N99" i="1" s="1"/>
  <c r="M97" i="1"/>
  <c r="M98" i="1"/>
  <c r="N98" i="1" s="1"/>
  <c r="N94" i="1"/>
  <c r="M95" i="1"/>
  <c r="L90" i="1"/>
  <c r="K90" i="1"/>
  <c r="H90" i="1"/>
  <c r="L89" i="1"/>
  <c r="K89" i="1"/>
  <c r="H89" i="1"/>
  <c r="L88" i="1"/>
  <c r="K88" i="1"/>
  <c r="H88" i="1"/>
  <c r="L87" i="1"/>
  <c r="K87" i="1"/>
  <c r="H87" i="1"/>
  <c r="L86" i="1"/>
  <c r="K86" i="1"/>
  <c r="H86" i="1"/>
  <c r="L85" i="1"/>
  <c r="K85" i="1"/>
  <c r="H85" i="1"/>
  <c r="L84" i="1"/>
  <c r="K84" i="1"/>
  <c r="H84" i="1"/>
  <c r="L82" i="1"/>
  <c r="K82" i="1"/>
  <c r="H82" i="1"/>
  <c r="L81" i="1"/>
  <c r="K81" i="1"/>
  <c r="H81" i="1"/>
  <c r="L80" i="1"/>
  <c r="K80" i="1"/>
  <c r="H80" i="1"/>
  <c r="L78" i="1"/>
  <c r="K78" i="1"/>
  <c r="H78" i="1"/>
  <c r="L77" i="1"/>
  <c r="K77" i="1"/>
  <c r="H77" i="1"/>
  <c r="L79" i="1"/>
  <c r="K79" i="1"/>
  <c r="H79" i="1"/>
  <c r="H39" i="10" l="1"/>
  <c r="O39" i="10" s="1"/>
  <c r="N95" i="1"/>
  <c r="M84" i="1"/>
  <c r="N84" i="1" s="1"/>
  <c r="M88" i="1"/>
  <c r="N88" i="1" s="1"/>
  <c r="M80" i="1"/>
  <c r="N80" i="1" s="1"/>
  <c r="M85" i="1"/>
  <c r="N85" i="1" s="1"/>
  <c r="M89" i="1"/>
  <c r="N89" i="1" s="1"/>
  <c r="M79" i="1"/>
  <c r="N79" i="1" s="1"/>
  <c r="M81" i="1"/>
  <c r="N81" i="1" s="1"/>
  <c r="M86" i="1"/>
  <c r="N86" i="1" s="1"/>
  <c r="M90" i="1"/>
  <c r="N90" i="1" s="1"/>
  <c r="M82" i="1"/>
  <c r="N82" i="1" s="1"/>
  <c r="M87" i="1"/>
  <c r="N87" i="1" s="1"/>
  <c r="N97" i="1"/>
  <c r="M78" i="1"/>
  <c r="N78" i="1" s="1"/>
  <c r="M77" i="1"/>
  <c r="N77" i="1" s="1"/>
  <c r="J225" i="10"/>
  <c r="J228" i="10" s="1"/>
  <c r="J242" i="10"/>
  <c r="J246" i="10" s="1"/>
  <c r="M29" i="6"/>
  <c r="H121" i="10" s="1"/>
  <c r="M30" i="6"/>
  <c r="H144" i="10" s="1"/>
  <c r="P144" i="10" s="1"/>
  <c r="H145" i="10"/>
  <c r="P145" i="10" s="1"/>
  <c r="H146" i="10"/>
  <c r="P121" i="10" l="1"/>
  <c r="J121" i="10"/>
  <c r="I121" i="10"/>
  <c r="J146" i="10"/>
  <c r="P146" i="10"/>
  <c r="I219" i="10"/>
  <c r="J219" i="10"/>
  <c r="I218" i="10"/>
  <c r="J218" i="10"/>
  <c r="I118" i="10"/>
  <c r="J118" i="10"/>
  <c r="J52" i="10" l="1"/>
  <c r="J95" i="10"/>
  <c r="J97" i="10" s="1"/>
  <c r="J53" i="10"/>
  <c r="J101" i="10"/>
  <c r="J110" i="10" s="1"/>
  <c r="J197" i="10"/>
  <c r="J54" i="10"/>
  <c r="I160" i="10" l="1"/>
  <c r="I108" i="10"/>
  <c r="I107" i="10"/>
  <c r="I106" i="10"/>
  <c r="I105" i="10"/>
  <c r="I104" i="10"/>
  <c r="I103" i="10"/>
  <c r="I102" i="10"/>
  <c r="I101" i="10"/>
  <c r="I100" i="10"/>
  <c r="I141" i="10"/>
  <c r="H119" i="10"/>
  <c r="P119" i="10" s="1"/>
  <c r="I67" i="10"/>
  <c r="J24" i="10" l="1"/>
  <c r="I119" i="10"/>
  <c r="J119" i="10"/>
  <c r="J117" i="10"/>
  <c r="K117" i="10"/>
  <c r="K194" i="10"/>
  <c r="J194" i="10"/>
  <c r="J215" i="10"/>
  <c r="K215" i="10"/>
  <c r="K195" i="10"/>
  <c r="K116" i="10"/>
  <c r="K145" i="10"/>
  <c r="J145" i="10"/>
  <c r="K196" i="10"/>
  <c r="J196" i="10"/>
  <c r="K214" i="10"/>
  <c r="J214" i="10"/>
  <c r="K115" i="10"/>
  <c r="J115" i="10"/>
  <c r="J144" i="10"/>
  <c r="K144" i="10"/>
  <c r="K213" i="10"/>
  <c r="J213" i="10"/>
  <c r="J159" i="10"/>
  <c r="J164" i="10" s="1"/>
  <c r="K159" i="10"/>
  <c r="K164" i="10" s="1"/>
  <c r="J143" i="10"/>
  <c r="K143" i="10"/>
  <c r="K167" i="10"/>
  <c r="K171" i="10" s="1"/>
  <c r="J216" i="10"/>
  <c r="K216" i="10"/>
  <c r="J212" i="10"/>
  <c r="K212" i="10"/>
  <c r="H228" i="10"/>
  <c r="J217" i="10"/>
  <c r="I95" i="10"/>
  <c r="H97" i="10"/>
  <c r="I159" i="10"/>
  <c r="H164" i="10"/>
  <c r="I99" i="10"/>
  <c r="H110" i="10"/>
  <c r="I110" i="10" s="1"/>
  <c r="J116" i="10"/>
  <c r="H112" i="1"/>
  <c r="K6" i="1"/>
  <c r="K7" i="1" s="1"/>
  <c r="K8" i="1" s="1"/>
  <c r="K9" i="1" s="1"/>
  <c r="K10" i="1" s="1"/>
  <c r="I10" i="1"/>
  <c r="I9" i="1"/>
  <c r="I8" i="1"/>
  <c r="I6" i="1"/>
  <c r="I109" i="10" l="1"/>
  <c r="I111" i="10"/>
  <c r="J195" i="10"/>
  <c r="K223" i="10"/>
  <c r="H132" i="10"/>
  <c r="K203" i="10"/>
  <c r="J132" i="10"/>
  <c r="K157" i="10"/>
  <c r="K132" i="10"/>
  <c r="I181" i="10"/>
  <c r="I182" i="10"/>
  <c r="I142" i="10" l="1"/>
  <c r="L100" i="1" l="1"/>
  <c r="L101" i="1" s="1"/>
  <c r="H32" i="1"/>
  <c r="K31" i="1"/>
  <c r="L29" i="1"/>
  <c r="K28" i="1"/>
  <c r="L27" i="1"/>
  <c r="L26" i="1"/>
  <c r="K24" i="1"/>
  <c r="K23" i="1"/>
  <c r="L22" i="1"/>
  <c r="K21" i="1"/>
  <c r="K20" i="1"/>
  <c r="L19" i="1"/>
  <c r="L18" i="1"/>
  <c r="L17" i="1"/>
  <c r="K16" i="1"/>
  <c r="L14" i="1"/>
  <c r="H120" i="1"/>
  <c r="H123" i="1"/>
  <c r="K117" i="1"/>
  <c r="L107" i="1"/>
  <c r="P24" i="6"/>
  <c r="K100" i="1"/>
  <c r="K101" i="1" s="1"/>
  <c r="H74" i="10"/>
  <c r="O74" i="10" s="1"/>
  <c r="H71" i="10"/>
  <c r="O71" i="10" s="1"/>
  <c r="I136" i="1"/>
  <c r="F136" i="1"/>
  <c r="K127" i="1"/>
  <c r="L124" i="1"/>
  <c r="I118" i="1"/>
  <c r="H190" i="10" s="1"/>
  <c r="H107" i="1"/>
  <c r="E108" i="1"/>
  <c r="K76" i="1"/>
  <c r="L83" i="1"/>
  <c r="H91" i="1"/>
  <c r="K53" i="1"/>
  <c r="H60" i="1"/>
  <c r="L61" i="1"/>
  <c r="K62" i="1"/>
  <c r="L63" i="1"/>
  <c r="L64" i="1"/>
  <c r="K66" i="1"/>
  <c r="K68" i="1"/>
  <c r="H70" i="1"/>
  <c r="L71" i="1"/>
  <c r="L72" i="1"/>
  <c r="L73" i="1"/>
  <c r="H50" i="1"/>
  <c r="K14" i="1"/>
  <c r="L16" i="1"/>
  <c r="H17" i="1"/>
  <c r="H18" i="1"/>
  <c r="K19" i="1"/>
  <c r="L20" i="1"/>
  <c r="L21" i="1"/>
  <c r="H22" i="1"/>
  <c r="H23" i="1"/>
  <c r="L23" i="1"/>
  <c r="L24" i="1"/>
  <c r="H26" i="1"/>
  <c r="L28" i="1"/>
  <c r="H29" i="1"/>
  <c r="H33" i="1"/>
  <c r="K33" i="1"/>
  <c r="L33" i="1"/>
  <c r="H34" i="1"/>
  <c r="K34" i="1"/>
  <c r="L34" i="1"/>
  <c r="H36" i="1"/>
  <c r="L37" i="1"/>
  <c r="K38" i="1"/>
  <c r="L39" i="1"/>
  <c r="F103" i="1"/>
  <c r="K104" i="1"/>
  <c r="I195" i="10"/>
  <c r="P54" i="6"/>
  <c r="P46" i="6"/>
  <c r="I214" i="10"/>
  <c r="I216" i="10"/>
  <c r="I162" i="10"/>
  <c r="G86" i="5"/>
  <c r="I86" i="5" s="1"/>
  <c r="J86" i="5" s="1"/>
  <c r="K86" i="5" s="1"/>
  <c r="L86" i="5" s="1"/>
  <c r="P36" i="6"/>
  <c r="G88" i="5"/>
  <c r="H88" i="5" s="1"/>
  <c r="I143" i="10"/>
  <c r="G75" i="5"/>
  <c r="I114" i="10"/>
  <c r="G83" i="5"/>
  <c r="G85" i="5"/>
  <c r="H85" i="5" s="1"/>
  <c r="I112" i="10"/>
  <c r="G52" i="5"/>
  <c r="F56" i="13"/>
  <c r="P21" i="8"/>
  <c r="I23" i="10"/>
  <c r="G21" i="5"/>
  <c r="I21" i="5" s="1"/>
  <c r="J21" i="5" s="1"/>
  <c r="K21" i="5" s="1"/>
  <c r="L21" i="5" s="1"/>
  <c r="P29" i="8"/>
  <c r="P28" i="8"/>
  <c r="I28" i="10"/>
  <c r="I27" i="10"/>
  <c r="I26" i="10"/>
  <c r="P24" i="8"/>
  <c r="I24" i="10"/>
  <c r="P20" i="8"/>
  <c r="P19" i="8"/>
  <c r="P17" i="8"/>
  <c r="I16" i="10"/>
  <c r="I13" i="10"/>
  <c r="G12" i="5"/>
  <c r="I12" i="5" s="1"/>
  <c r="J12" i="5" s="1"/>
  <c r="K12" i="5" s="1"/>
  <c r="L12" i="5" s="1"/>
  <c r="G41" i="13"/>
  <c r="D136" i="1"/>
  <c r="D133" i="1"/>
  <c r="L122" i="1"/>
  <c r="K121" i="1"/>
  <c r="D114" i="1"/>
  <c r="D109" i="1"/>
  <c r="H47" i="10"/>
  <c r="H48" i="10"/>
  <c r="P14" i="6"/>
  <c r="I53" i="10"/>
  <c r="P58" i="6"/>
  <c r="P59" i="6"/>
  <c r="P60" i="6"/>
  <c r="P61" i="6"/>
  <c r="P62" i="6"/>
  <c r="P63" i="6"/>
  <c r="P64" i="6"/>
  <c r="P66" i="6"/>
  <c r="P67" i="6"/>
  <c r="P68" i="6"/>
  <c r="P69" i="6"/>
  <c r="P70" i="6"/>
  <c r="G114" i="5"/>
  <c r="H114" i="5" s="1"/>
  <c r="G118" i="5"/>
  <c r="H118" i="5" s="1"/>
  <c r="G119" i="5"/>
  <c r="P74" i="6"/>
  <c r="P75" i="6"/>
  <c r="P76" i="6"/>
  <c r="P77" i="6"/>
  <c r="P78" i="6"/>
  <c r="P79" i="6"/>
  <c r="P80" i="6"/>
  <c r="G156" i="5"/>
  <c r="P83" i="6"/>
  <c r="B1" i="6"/>
  <c r="B1" i="1"/>
  <c r="B1" i="8"/>
  <c r="P22" i="6"/>
  <c r="P39" i="6"/>
  <c r="P44" i="6"/>
  <c r="P55" i="6"/>
  <c r="P56" i="6"/>
  <c r="P57" i="6"/>
  <c r="P65" i="6"/>
  <c r="P81" i="6"/>
  <c r="P13" i="8"/>
  <c r="P14" i="8"/>
  <c r="P22" i="8"/>
  <c r="P25" i="8"/>
  <c r="P27" i="8"/>
  <c r="P30" i="8"/>
  <c r="P31" i="8"/>
  <c r="M86" i="6"/>
  <c r="P251" i="10" s="1"/>
  <c r="I54" i="10"/>
  <c r="I56" i="10"/>
  <c r="I30" i="10"/>
  <c r="G46" i="10"/>
  <c r="E46" i="10"/>
  <c r="O46" i="10" s="1"/>
  <c r="D46" i="10"/>
  <c r="C46" i="10"/>
  <c r="B46" i="10"/>
  <c r="K14" i="10"/>
  <c r="A34" i="1"/>
  <c r="A27" i="1"/>
  <c r="A33" i="1" s="1"/>
  <c r="A36" i="1"/>
  <c r="A35" i="1"/>
  <c r="A37" i="1"/>
  <c r="A38" i="1"/>
  <c r="K33" i="8"/>
  <c r="K86" i="6"/>
  <c r="B12" i="10"/>
  <c r="C12" i="10"/>
  <c r="D12" i="10"/>
  <c r="E12" i="10"/>
  <c r="G12" i="10"/>
  <c r="K15" i="10"/>
  <c r="K17" i="10"/>
  <c r="D106" i="11"/>
  <c r="E106" i="11" s="1"/>
  <c r="D102" i="11"/>
  <c r="D95" i="11"/>
  <c r="E95" i="11" s="1"/>
  <c r="D94" i="11"/>
  <c r="D93" i="11"/>
  <c r="E93" i="11" s="1"/>
  <c r="K93" i="11" s="1"/>
  <c r="D89" i="11"/>
  <c r="E89" i="11" s="1"/>
  <c r="D88" i="11"/>
  <c r="E88" i="11" s="1"/>
  <c r="L88" i="11" s="1"/>
  <c r="D84" i="11"/>
  <c r="E84" i="11" s="1"/>
  <c r="H84" i="11" s="1"/>
  <c r="D81" i="11"/>
  <c r="E81" i="11" s="1"/>
  <c r="D80" i="11"/>
  <c r="E80" i="11" s="1"/>
  <c r="D77" i="11"/>
  <c r="D44" i="11"/>
  <c r="E44" i="11" s="1"/>
  <c r="K44" i="11" s="1"/>
  <c r="D43" i="11"/>
  <c r="E43" i="11" s="1"/>
  <c r="D23" i="11"/>
  <c r="E23" i="11" s="1"/>
  <c r="K23" i="11" s="1"/>
  <c r="D22" i="11"/>
  <c r="E22" i="11" s="1"/>
  <c r="K22" i="11" s="1"/>
  <c r="D21" i="11"/>
  <c r="E21" i="11" s="1"/>
  <c r="D20" i="11"/>
  <c r="E20" i="11" s="1"/>
  <c r="D19" i="11"/>
  <c r="E19" i="11" s="1"/>
  <c r="K19" i="11" s="1"/>
  <c r="D16" i="11"/>
  <c r="D14" i="11"/>
  <c r="E14" i="11" s="1"/>
  <c r="I77" i="11"/>
  <c r="I78" i="11" s="1"/>
  <c r="F77" i="11"/>
  <c r="F78" i="11" s="1"/>
  <c r="E77" i="11"/>
  <c r="E109" i="11"/>
  <c r="E108" i="11"/>
  <c r="E107" i="11"/>
  <c r="E103" i="11"/>
  <c r="K103" i="11" s="1"/>
  <c r="E102" i="11"/>
  <c r="H102" i="11" s="1"/>
  <c r="E99" i="11"/>
  <c r="K99" i="11" s="1"/>
  <c r="E98" i="11"/>
  <c r="K98" i="11" s="1"/>
  <c r="E90" i="11"/>
  <c r="H90" i="11" s="1"/>
  <c r="E85" i="11"/>
  <c r="K85" i="11" s="1"/>
  <c r="E74" i="11"/>
  <c r="K74" i="11" s="1"/>
  <c r="K75" i="11" s="1"/>
  <c r="E71" i="11"/>
  <c r="L71" i="11" s="1"/>
  <c r="E70" i="11"/>
  <c r="E69" i="11"/>
  <c r="L69" i="11" s="1"/>
  <c r="E66" i="11"/>
  <c r="K66" i="11" s="1"/>
  <c r="E65" i="11"/>
  <c r="L65" i="11" s="1"/>
  <c r="E64" i="11"/>
  <c r="H64" i="11" s="1"/>
  <c r="E63" i="11"/>
  <c r="K63" i="11" s="1"/>
  <c r="E62" i="11"/>
  <c r="L62" i="11" s="1"/>
  <c r="E61" i="11"/>
  <c r="K61" i="11" s="1"/>
  <c r="E60" i="11"/>
  <c r="H60" i="11" s="1"/>
  <c r="E59" i="11"/>
  <c r="K59" i="11" s="1"/>
  <c r="E58" i="11"/>
  <c r="K58" i="11" s="1"/>
  <c r="E57" i="11"/>
  <c r="K57" i="11" s="1"/>
  <c r="E56" i="11"/>
  <c r="H56" i="11" s="1"/>
  <c r="E55" i="11"/>
  <c r="K55" i="11" s="1"/>
  <c r="E54" i="11"/>
  <c r="H54" i="11" s="1"/>
  <c r="E53" i="11"/>
  <c r="K53" i="11" s="1"/>
  <c r="E52" i="11"/>
  <c r="L52" i="11" s="1"/>
  <c r="E51" i="11"/>
  <c r="K51" i="11" s="1"/>
  <c r="E50" i="11"/>
  <c r="K50" i="11" s="1"/>
  <c r="E49" i="11"/>
  <c r="K49" i="11" s="1"/>
  <c r="E48" i="11"/>
  <c r="K48" i="11" s="1"/>
  <c r="E47" i="11"/>
  <c r="K47" i="11" s="1"/>
  <c r="E46" i="11"/>
  <c r="H46" i="11" s="1"/>
  <c r="E45" i="11"/>
  <c r="K45" i="11" s="1"/>
  <c r="E40" i="11"/>
  <c r="E39" i="11"/>
  <c r="L39" i="11" s="1"/>
  <c r="E38" i="11"/>
  <c r="K38" i="11" s="1"/>
  <c r="E37" i="11"/>
  <c r="E15" i="11"/>
  <c r="L15" i="11" s="1"/>
  <c r="E16" i="11"/>
  <c r="K16" i="11" s="1"/>
  <c r="E17" i="11"/>
  <c r="K17" i="11" s="1"/>
  <c r="E18" i="11"/>
  <c r="E24" i="11"/>
  <c r="K24" i="11" s="1"/>
  <c r="E25" i="11"/>
  <c r="K25" i="11" s="1"/>
  <c r="E26" i="11"/>
  <c r="L26" i="11" s="1"/>
  <c r="E27" i="11"/>
  <c r="L27" i="11" s="1"/>
  <c r="E28" i="11"/>
  <c r="K28" i="11" s="1"/>
  <c r="E29" i="11"/>
  <c r="K29" i="11" s="1"/>
  <c r="E30" i="11"/>
  <c r="L30" i="11" s="1"/>
  <c r="E31" i="11"/>
  <c r="K31" i="11" s="1"/>
  <c r="E32" i="11"/>
  <c r="K32" i="11" s="1"/>
  <c r="E33" i="11"/>
  <c r="K33" i="11" s="1"/>
  <c r="E34" i="11"/>
  <c r="K34" i="11" s="1"/>
  <c r="I81" i="11"/>
  <c r="I80" i="11"/>
  <c r="I82" i="11" s="1"/>
  <c r="F80" i="11"/>
  <c r="F81" i="11"/>
  <c r="I106" i="11"/>
  <c r="I110" i="11" s="1"/>
  <c r="I102" i="11"/>
  <c r="I95" i="11"/>
  <c r="I93" i="11"/>
  <c r="I90" i="11"/>
  <c r="I89" i="11"/>
  <c r="I88" i="11"/>
  <c r="I85" i="11"/>
  <c r="I84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03" i="11"/>
  <c r="I99" i="11"/>
  <c r="I98" i="11"/>
  <c r="I74" i="11"/>
  <c r="I71" i="11"/>
  <c r="I70" i="11"/>
  <c r="I69" i="11"/>
  <c r="I66" i="11"/>
  <c r="I40" i="11"/>
  <c r="I39" i="11"/>
  <c r="I38" i="11"/>
  <c r="I37" i="11"/>
  <c r="I34" i="11"/>
  <c r="I33" i="11"/>
  <c r="I32" i="11"/>
  <c r="I31" i="11"/>
  <c r="I30" i="11"/>
  <c r="F6" i="11"/>
  <c r="F7" i="11" s="1"/>
  <c r="F8" i="11" s="1"/>
  <c r="F9" i="11" s="1"/>
  <c r="F10" i="11" s="1"/>
  <c r="F15" i="11"/>
  <c r="F17" i="11"/>
  <c r="F18" i="11"/>
  <c r="F19" i="11"/>
  <c r="F20" i="11"/>
  <c r="F21" i="11"/>
  <c r="F22" i="11"/>
  <c r="F23" i="11"/>
  <c r="F24" i="11"/>
  <c r="F25" i="11"/>
  <c r="F26" i="11"/>
  <c r="A27" i="11"/>
  <c r="F27" i="11"/>
  <c r="F28" i="11"/>
  <c r="F29" i="11"/>
  <c r="F30" i="11"/>
  <c r="F31" i="11"/>
  <c r="F32" i="11"/>
  <c r="A33" i="11"/>
  <c r="F33" i="11"/>
  <c r="F34" i="11"/>
  <c r="F37" i="11"/>
  <c r="A38" i="11"/>
  <c r="F38" i="11"/>
  <c r="F39" i="11"/>
  <c r="F40" i="11"/>
  <c r="A41" i="11"/>
  <c r="F43" i="11"/>
  <c r="F44" i="11"/>
  <c r="A45" i="11"/>
  <c r="F45" i="11"/>
  <c r="F46" i="11"/>
  <c r="F47" i="11"/>
  <c r="F48" i="11"/>
  <c r="F49" i="11"/>
  <c r="F50" i="11"/>
  <c r="F51" i="11"/>
  <c r="A52" i="11"/>
  <c r="A53" i="11" s="1"/>
  <c r="F52" i="11"/>
  <c r="F53" i="11"/>
  <c r="F54" i="11"/>
  <c r="A55" i="11"/>
  <c r="F55" i="11"/>
  <c r="F56" i="11"/>
  <c r="F57" i="11"/>
  <c r="F58" i="11"/>
  <c r="F59" i="11"/>
  <c r="F60" i="11"/>
  <c r="F61" i="11"/>
  <c r="F62" i="11"/>
  <c r="F63" i="11"/>
  <c r="A64" i="11"/>
  <c r="F64" i="11"/>
  <c r="F65" i="11"/>
  <c r="F66" i="11"/>
  <c r="A68" i="11"/>
  <c r="F69" i="11"/>
  <c r="F70" i="11"/>
  <c r="A71" i="11"/>
  <c r="F71" i="11"/>
  <c r="F74" i="11"/>
  <c r="F75" i="11" s="1"/>
  <c r="F85" i="11"/>
  <c r="F88" i="11"/>
  <c r="F89" i="11"/>
  <c r="F90" i="11"/>
  <c r="F93" i="11"/>
  <c r="F95" i="11"/>
  <c r="F98" i="11"/>
  <c r="F99" i="11"/>
  <c r="F102" i="11"/>
  <c r="F103" i="11"/>
  <c r="F106" i="11"/>
  <c r="F110" i="11" s="1"/>
  <c r="A60" i="1"/>
  <c r="I11" i="10"/>
  <c r="B44" i="10"/>
  <c r="C44" i="10"/>
  <c r="D44" i="10"/>
  <c r="E44" i="10"/>
  <c r="O44" i="10" s="1"/>
  <c r="G44" i="10"/>
  <c r="B45" i="10"/>
  <c r="C45" i="10"/>
  <c r="D45" i="10"/>
  <c r="E45" i="10"/>
  <c r="O45" i="10" s="1"/>
  <c r="G45" i="10"/>
  <c r="B47" i="10"/>
  <c r="C47" i="10"/>
  <c r="D47" i="10"/>
  <c r="E47" i="10"/>
  <c r="O47" i="10" s="1"/>
  <c r="G47" i="10"/>
  <c r="B48" i="10"/>
  <c r="C48" i="10"/>
  <c r="D48" i="10"/>
  <c r="E48" i="10"/>
  <c r="O48" i="10" s="1"/>
  <c r="G48" i="10"/>
  <c r="B49" i="10"/>
  <c r="C49" i="10"/>
  <c r="D49" i="10"/>
  <c r="E49" i="10"/>
  <c r="O49" i="10" s="1"/>
  <c r="G49" i="10"/>
  <c r="B50" i="10"/>
  <c r="K50" i="10" s="1"/>
  <c r="C50" i="10"/>
  <c r="D50" i="10"/>
  <c r="E50" i="10"/>
  <c r="O50" i="10" s="1"/>
  <c r="G50" i="10"/>
  <c r="I180" i="10"/>
  <c r="I183" i="10"/>
  <c r="I196" i="10"/>
  <c r="I197" i="10"/>
  <c r="I198" i="10"/>
  <c r="I199" i="10"/>
  <c r="I200" i="10"/>
  <c r="I201" i="10"/>
  <c r="I237" i="10"/>
  <c r="I238" i="10"/>
  <c r="I244" i="10"/>
  <c r="I248" i="10"/>
  <c r="H182" i="5"/>
  <c r="L184" i="5"/>
  <c r="J153" i="5"/>
  <c r="K153" i="5" s="1"/>
  <c r="L153" i="5" s="1"/>
  <c r="L116" i="5"/>
  <c r="L44" i="5"/>
  <c r="L45" i="5"/>
  <c r="K184" i="5"/>
  <c r="K116" i="5"/>
  <c r="K44" i="5"/>
  <c r="K45" i="5"/>
  <c r="J184" i="5"/>
  <c r="J116" i="5"/>
  <c r="J44" i="5"/>
  <c r="J45" i="5"/>
  <c r="I184" i="5"/>
  <c r="I116" i="5"/>
  <c r="G184" i="5"/>
  <c r="G73" i="5"/>
  <c r="H73" i="5" s="1"/>
  <c r="B18" i="5"/>
  <c r="C18" i="5"/>
  <c r="D18" i="5"/>
  <c r="E18" i="5"/>
  <c r="F18" i="5"/>
  <c r="H47" i="5"/>
  <c r="H48" i="5"/>
  <c r="H62" i="5"/>
  <c r="H66" i="5"/>
  <c r="H67" i="5"/>
  <c r="H68" i="5"/>
  <c r="H69" i="5"/>
  <c r="H70" i="5"/>
  <c r="H71" i="5"/>
  <c r="H92" i="5"/>
  <c r="H108" i="5"/>
  <c r="H109" i="5"/>
  <c r="H131" i="5"/>
  <c r="H132" i="5"/>
  <c r="H138" i="5"/>
  <c r="H139" i="5"/>
  <c r="H140" i="5"/>
  <c r="H141" i="5"/>
  <c r="H142" i="5"/>
  <c r="H143" i="5"/>
  <c r="H159" i="5"/>
  <c r="H160" i="5"/>
  <c r="H174" i="5"/>
  <c r="H175" i="5"/>
  <c r="H176" i="5"/>
  <c r="H186" i="5"/>
  <c r="H23" i="5"/>
  <c r="H24" i="5"/>
  <c r="D153" i="5"/>
  <c r="B154" i="5"/>
  <c r="C154" i="5"/>
  <c r="D154" i="5"/>
  <c r="E154" i="5"/>
  <c r="F154" i="5"/>
  <c r="B155" i="5"/>
  <c r="C155" i="5"/>
  <c r="D155" i="5"/>
  <c r="E155" i="5"/>
  <c r="F155" i="5"/>
  <c r="B156" i="5"/>
  <c r="C156" i="5"/>
  <c r="D156" i="5"/>
  <c r="E156" i="5"/>
  <c r="F156" i="5"/>
  <c r="B157" i="5"/>
  <c r="C157" i="5"/>
  <c r="D157" i="5"/>
  <c r="E157" i="5"/>
  <c r="F157" i="5"/>
  <c r="B158" i="5"/>
  <c r="C158" i="5"/>
  <c r="D158" i="5"/>
  <c r="E158" i="5"/>
  <c r="F158" i="5"/>
  <c r="C153" i="5"/>
  <c r="E153" i="5"/>
  <c r="F153" i="5"/>
  <c r="B153" i="5"/>
  <c r="B137" i="5"/>
  <c r="C137" i="5"/>
  <c r="D137" i="5"/>
  <c r="E137" i="5"/>
  <c r="F137" i="5"/>
  <c r="C136" i="5"/>
  <c r="D136" i="5"/>
  <c r="E136" i="5"/>
  <c r="F136" i="5"/>
  <c r="B136" i="5"/>
  <c r="B130" i="5"/>
  <c r="C130" i="5"/>
  <c r="D130" i="5"/>
  <c r="E130" i="5"/>
  <c r="F130" i="5"/>
  <c r="C129" i="5"/>
  <c r="D129" i="5"/>
  <c r="E129" i="5"/>
  <c r="F129" i="5"/>
  <c r="B129" i="5"/>
  <c r="B119" i="5"/>
  <c r="C119" i="5"/>
  <c r="D119" i="5"/>
  <c r="E119" i="5"/>
  <c r="F119" i="5"/>
  <c r="C118" i="5"/>
  <c r="D118" i="5"/>
  <c r="E118" i="5"/>
  <c r="F118" i="5"/>
  <c r="B118" i="5"/>
  <c r="B114" i="5"/>
  <c r="C114" i="5"/>
  <c r="D114" i="5"/>
  <c r="E114" i="5"/>
  <c r="F114" i="5"/>
  <c r="C113" i="5"/>
  <c r="D113" i="5"/>
  <c r="E113" i="5"/>
  <c r="F113" i="5"/>
  <c r="B113" i="5"/>
  <c r="B104" i="5"/>
  <c r="C104" i="5"/>
  <c r="D104" i="5"/>
  <c r="E104" i="5"/>
  <c r="F104" i="5"/>
  <c r="B105" i="5"/>
  <c r="C105" i="5"/>
  <c r="D105" i="5"/>
  <c r="E105" i="5"/>
  <c r="F105" i="5"/>
  <c r="B106" i="5"/>
  <c r="C106" i="5"/>
  <c r="D106" i="5"/>
  <c r="E106" i="5"/>
  <c r="F106" i="5"/>
  <c r="B107" i="5"/>
  <c r="C107" i="5"/>
  <c r="D107" i="5"/>
  <c r="E107" i="5"/>
  <c r="F107" i="5"/>
  <c r="C103" i="5"/>
  <c r="D103" i="5"/>
  <c r="E103" i="5"/>
  <c r="F103" i="5"/>
  <c r="B103" i="5"/>
  <c r="B84" i="5"/>
  <c r="C84" i="5"/>
  <c r="D84" i="5"/>
  <c r="E84" i="5"/>
  <c r="F84" i="5"/>
  <c r="B85" i="5"/>
  <c r="C85" i="5"/>
  <c r="D85" i="5"/>
  <c r="E85" i="5"/>
  <c r="F85" i="5"/>
  <c r="B86" i="5"/>
  <c r="C86" i="5"/>
  <c r="D86" i="5"/>
  <c r="E86" i="5"/>
  <c r="F86" i="5"/>
  <c r="B87" i="5"/>
  <c r="C87" i="5"/>
  <c r="D87" i="5"/>
  <c r="E87" i="5"/>
  <c r="F87" i="5"/>
  <c r="B88" i="5"/>
  <c r="C88" i="5"/>
  <c r="D88" i="5"/>
  <c r="E88" i="5"/>
  <c r="F88" i="5"/>
  <c r="B89" i="5"/>
  <c r="C89" i="5"/>
  <c r="D89" i="5"/>
  <c r="E89" i="5"/>
  <c r="F89" i="5"/>
  <c r="B90" i="5"/>
  <c r="C90" i="5"/>
  <c r="D90" i="5"/>
  <c r="E90" i="5"/>
  <c r="F90" i="5"/>
  <c r="B91" i="5"/>
  <c r="C91" i="5"/>
  <c r="D91" i="5"/>
  <c r="E91" i="5"/>
  <c r="F91" i="5"/>
  <c r="C83" i="5"/>
  <c r="D83" i="5"/>
  <c r="E83" i="5"/>
  <c r="F83" i="5"/>
  <c r="B83" i="5"/>
  <c r="C79" i="5"/>
  <c r="D79" i="5"/>
  <c r="E79" i="5"/>
  <c r="F79" i="5"/>
  <c r="B79" i="5"/>
  <c r="C75" i="5"/>
  <c r="D75" i="5"/>
  <c r="E75" i="5"/>
  <c r="F75" i="5"/>
  <c r="B75" i="5"/>
  <c r="C52" i="5"/>
  <c r="D52" i="5"/>
  <c r="E52" i="5"/>
  <c r="F52" i="5"/>
  <c r="B52" i="5"/>
  <c r="B46" i="5"/>
  <c r="C46" i="5"/>
  <c r="D46" i="5"/>
  <c r="E46" i="5"/>
  <c r="F46" i="5"/>
  <c r="B38" i="5"/>
  <c r="C38" i="5"/>
  <c r="D38" i="5"/>
  <c r="E38" i="5"/>
  <c r="F38" i="5"/>
  <c r="B39" i="5"/>
  <c r="C39" i="5"/>
  <c r="D39" i="5"/>
  <c r="E39" i="5"/>
  <c r="F39" i="5"/>
  <c r="B40" i="5"/>
  <c r="C40" i="5"/>
  <c r="D40" i="5"/>
  <c r="E40" i="5"/>
  <c r="F40" i="5"/>
  <c r="B41" i="5"/>
  <c r="C41" i="5"/>
  <c r="D41" i="5"/>
  <c r="E41" i="5"/>
  <c r="F41" i="5"/>
  <c r="B42" i="5"/>
  <c r="C42" i="5"/>
  <c r="D42" i="5"/>
  <c r="E42" i="5"/>
  <c r="F42" i="5"/>
  <c r="B43" i="5"/>
  <c r="C43" i="5"/>
  <c r="D43" i="5"/>
  <c r="E43" i="5"/>
  <c r="F43" i="5"/>
  <c r="B44" i="5"/>
  <c r="C44" i="5"/>
  <c r="D44" i="5"/>
  <c r="E44" i="5"/>
  <c r="F44" i="5"/>
  <c r="B45" i="5"/>
  <c r="C45" i="5"/>
  <c r="D45" i="5"/>
  <c r="E45" i="5"/>
  <c r="F45" i="5"/>
  <c r="C37" i="5"/>
  <c r="D37" i="5"/>
  <c r="E37" i="5"/>
  <c r="F37" i="5"/>
  <c r="B37" i="5"/>
  <c r="B12" i="5"/>
  <c r="C12" i="5"/>
  <c r="D12" i="5"/>
  <c r="E12" i="5"/>
  <c r="F12" i="5"/>
  <c r="B13" i="5"/>
  <c r="C13" i="5"/>
  <c r="D13" i="5"/>
  <c r="E13" i="5"/>
  <c r="F13" i="5"/>
  <c r="B14" i="5"/>
  <c r="C14" i="5"/>
  <c r="D14" i="5"/>
  <c r="E14" i="5"/>
  <c r="F14" i="5"/>
  <c r="B15" i="5"/>
  <c r="C15" i="5"/>
  <c r="D15" i="5"/>
  <c r="E15" i="5"/>
  <c r="F15" i="5"/>
  <c r="B16" i="5"/>
  <c r="C16" i="5"/>
  <c r="D16" i="5"/>
  <c r="E16" i="5"/>
  <c r="F16" i="5"/>
  <c r="B17" i="5"/>
  <c r="C17" i="5"/>
  <c r="D17" i="5"/>
  <c r="E17" i="5"/>
  <c r="F17" i="5"/>
  <c r="B19" i="5"/>
  <c r="C19" i="5"/>
  <c r="D19" i="5"/>
  <c r="E19" i="5"/>
  <c r="F19" i="5"/>
  <c r="B20" i="5"/>
  <c r="C20" i="5"/>
  <c r="D20" i="5"/>
  <c r="E20" i="5"/>
  <c r="F20" i="5"/>
  <c r="B21" i="5"/>
  <c r="C21" i="5"/>
  <c r="D21" i="5"/>
  <c r="E21" i="5"/>
  <c r="F21" i="5"/>
  <c r="B22" i="5"/>
  <c r="C22" i="5"/>
  <c r="D22" i="5"/>
  <c r="E22" i="5"/>
  <c r="F22" i="5"/>
  <c r="C11" i="5"/>
  <c r="D11" i="5"/>
  <c r="E11" i="5"/>
  <c r="F11" i="5"/>
  <c r="B11" i="5"/>
  <c r="G86" i="6"/>
  <c r="I86" i="6"/>
  <c r="B164" i="5"/>
  <c r="C164" i="5"/>
  <c r="D164" i="5"/>
  <c r="E164" i="5"/>
  <c r="F164" i="5"/>
  <c r="G19" i="9"/>
  <c r="G40" i="9"/>
  <c r="G53" i="9"/>
  <c r="G74" i="9"/>
  <c r="G88" i="9"/>
  <c r="G106" i="9"/>
  <c r="G118" i="9"/>
  <c r="G122" i="9"/>
  <c r="G125" i="9"/>
  <c r="G64" i="9"/>
  <c r="G71" i="9"/>
  <c r="G76" i="9"/>
  <c r="G85" i="9"/>
  <c r="G94" i="9"/>
  <c r="G128" i="9"/>
  <c r="F6" i="1"/>
  <c r="F7" i="1" s="1"/>
  <c r="F8" i="1" s="1"/>
  <c r="F9" i="1" s="1"/>
  <c r="F10" i="1" s="1"/>
  <c r="A91" i="1"/>
  <c r="A75" i="1"/>
  <c r="A71" i="1"/>
  <c r="A62" i="1"/>
  <c r="A51" i="1"/>
  <c r="I33" i="8"/>
  <c r="G33" i="8"/>
  <c r="F16" i="11"/>
  <c r="I161" i="10"/>
  <c r="I104" i="11"/>
  <c r="I45" i="5"/>
  <c r="I44" i="5"/>
  <c r="I130" i="10"/>
  <c r="I221" i="10"/>
  <c r="I154" i="10"/>
  <c r="I236" i="10"/>
  <c r="G22" i="5"/>
  <c r="I22" i="5" s="1"/>
  <c r="J22" i="5" s="1"/>
  <c r="K22" i="5" s="1"/>
  <c r="L22" i="5" s="1"/>
  <c r="I155" i="10"/>
  <c r="G89" i="5"/>
  <c r="H89" i="5" s="1"/>
  <c r="I169" i="10"/>
  <c r="H92" i="10"/>
  <c r="I92" i="10" s="1"/>
  <c r="I91" i="10" s="1"/>
  <c r="I129" i="10"/>
  <c r="I153" i="10"/>
  <c r="I47" i="10" l="1"/>
  <c r="P47" i="10"/>
  <c r="I48" i="10"/>
  <c r="P48" i="10"/>
  <c r="J190" i="10"/>
  <c r="O190" i="10"/>
  <c r="H233" i="10"/>
  <c r="O233" i="10" s="1"/>
  <c r="J22" i="10"/>
  <c r="I72" i="11"/>
  <c r="I100" i="11"/>
  <c r="I96" i="11"/>
  <c r="I74" i="10"/>
  <c r="J74" i="10"/>
  <c r="I71" i="10"/>
  <c r="J71" i="10"/>
  <c r="K21" i="10"/>
  <c r="K19" i="10"/>
  <c r="K18" i="10"/>
  <c r="J13" i="10"/>
  <c r="K13" i="10"/>
  <c r="K20" i="10"/>
  <c r="K12" i="10"/>
  <c r="K16" i="10"/>
  <c r="J16" i="10"/>
  <c r="I22" i="10"/>
  <c r="K22" i="10"/>
  <c r="I17" i="10"/>
  <c r="J17" i="10"/>
  <c r="I14" i="10"/>
  <c r="J14" i="10"/>
  <c r="K46" i="10"/>
  <c r="K49" i="10"/>
  <c r="K44" i="10"/>
  <c r="K48" i="10"/>
  <c r="J48" i="10"/>
  <c r="J47" i="10"/>
  <c r="K47" i="10"/>
  <c r="H108" i="1"/>
  <c r="H109" i="1" s="1"/>
  <c r="F108" i="1"/>
  <c r="F109" i="1" s="1"/>
  <c r="H75" i="10"/>
  <c r="O75" i="10" s="1"/>
  <c r="H72" i="10"/>
  <c r="O72" i="10" s="1"/>
  <c r="H76" i="10"/>
  <c r="O76" i="10" s="1"/>
  <c r="L85" i="11"/>
  <c r="I190" i="10"/>
  <c r="H52" i="11"/>
  <c r="H30" i="11"/>
  <c r="L17" i="11"/>
  <c r="I41" i="11"/>
  <c r="D118" i="1"/>
  <c r="L31" i="1"/>
  <c r="H27" i="1"/>
  <c r="H19" i="1"/>
  <c r="I89" i="5"/>
  <c r="J89" i="5" s="1"/>
  <c r="K89" i="5" s="1"/>
  <c r="L89" i="5" s="1"/>
  <c r="H74" i="11"/>
  <c r="H75" i="11" s="1"/>
  <c r="L46" i="11"/>
  <c r="L66" i="11"/>
  <c r="L48" i="11"/>
  <c r="H99" i="11"/>
  <c r="H26" i="11"/>
  <c r="H28" i="11"/>
  <c r="H32" i="11"/>
  <c r="F104" i="11"/>
  <c r="L44" i="11"/>
  <c r="L24" i="11"/>
  <c r="G56" i="5"/>
  <c r="H56" i="5" s="1"/>
  <c r="H93" i="11"/>
  <c r="H58" i="11"/>
  <c r="L103" i="11"/>
  <c r="L74" i="11"/>
  <c r="L75" i="11" s="1"/>
  <c r="K54" i="11"/>
  <c r="L50" i="11"/>
  <c r="H71" i="11"/>
  <c r="H62" i="11"/>
  <c r="L54" i="11"/>
  <c r="H29" i="11"/>
  <c r="L56" i="11"/>
  <c r="L60" i="11"/>
  <c r="H53" i="11"/>
  <c r="K46" i="11"/>
  <c r="M46" i="11" s="1"/>
  <c r="N46" i="11" s="1"/>
  <c r="K52" i="11"/>
  <c r="K56" i="11"/>
  <c r="L64" i="11"/>
  <c r="G171" i="5"/>
  <c r="H171" i="5" s="1"/>
  <c r="L62" i="1"/>
  <c r="L50" i="1"/>
  <c r="L38" i="1"/>
  <c r="L66" i="1"/>
  <c r="K108" i="1"/>
  <c r="F105" i="1"/>
  <c r="H82" i="10" s="1"/>
  <c r="O82" i="10" s="1"/>
  <c r="H38" i="1"/>
  <c r="H72" i="1"/>
  <c r="H64" i="1"/>
  <c r="L36" i="1"/>
  <c r="K72" i="1"/>
  <c r="K64" i="1"/>
  <c r="L60" i="1"/>
  <c r="H76" i="1"/>
  <c r="K60" i="1"/>
  <c r="H100" i="1"/>
  <c r="H101" i="1" s="1"/>
  <c r="K32" i="1"/>
  <c r="L32" i="1"/>
  <c r="K29" i="1"/>
  <c r="M29" i="1" s="1"/>
  <c r="N29" i="1" s="1"/>
  <c r="K27" i="1"/>
  <c r="K26" i="1"/>
  <c r="M26" i="1" s="1"/>
  <c r="N26" i="1" s="1"/>
  <c r="M25" i="1"/>
  <c r="N25" i="1" s="1"/>
  <c r="H24" i="1"/>
  <c r="K22" i="1"/>
  <c r="M22" i="1" s="1"/>
  <c r="N22" i="1" s="1"/>
  <c r="H21" i="1"/>
  <c r="H20" i="1"/>
  <c r="M20" i="1" s="1"/>
  <c r="N20" i="1" s="1"/>
  <c r="K18" i="1"/>
  <c r="M18" i="1" s="1"/>
  <c r="N18" i="1" s="1"/>
  <c r="K17" i="1"/>
  <c r="M17" i="1" s="1"/>
  <c r="N17" i="1" s="1"/>
  <c r="H16" i="1"/>
  <c r="H15" i="1"/>
  <c r="H14" i="1"/>
  <c r="L123" i="1"/>
  <c r="L132" i="1"/>
  <c r="A72" i="11"/>
  <c r="I86" i="11"/>
  <c r="H66" i="1"/>
  <c r="F129" i="1"/>
  <c r="I93" i="10"/>
  <c r="I91" i="11"/>
  <c r="L104" i="1"/>
  <c r="K36" i="1"/>
  <c r="K70" i="1"/>
  <c r="H53" i="1"/>
  <c r="K91" i="1"/>
  <c r="L108" i="1"/>
  <c r="L109" i="1" s="1"/>
  <c r="H127" i="1"/>
  <c r="K50" i="1"/>
  <c r="L70" i="1"/>
  <c r="L68" i="1"/>
  <c r="L91" i="1"/>
  <c r="L76" i="1"/>
  <c r="L53" i="1"/>
  <c r="L127" i="1"/>
  <c r="L117" i="1"/>
  <c r="F118" i="1"/>
  <c r="H188" i="10" s="1"/>
  <c r="H114" i="1"/>
  <c r="K107" i="1"/>
  <c r="M107" i="1" s="1"/>
  <c r="N107" i="1" s="1"/>
  <c r="N111" i="1"/>
  <c r="F125" i="1"/>
  <c r="M23" i="1"/>
  <c r="N23" i="1" s="1"/>
  <c r="G169" i="5"/>
  <c r="I169" i="5" s="1"/>
  <c r="J169" i="5" s="1"/>
  <c r="K169" i="5" s="1"/>
  <c r="L169" i="5" s="1"/>
  <c r="H231" i="10"/>
  <c r="O231" i="10" s="1"/>
  <c r="H104" i="1"/>
  <c r="H68" i="1"/>
  <c r="E109" i="1"/>
  <c r="I105" i="1"/>
  <c r="H84" i="10" s="1"/>
  <c r="O84" i="10" s="1"/>
  <c r="H28" i="1"/>
  <c r="M28" i="1" s="1"/>
  <c r="N28" i="1" s="1"/>
  <c r="G57" i="5"/>
  <c r="H57" i="5" s="1"/>
  <c r="G59" i="5"/>
  <c r="H59" i="5" s="1"/>
  <c r="I92" i="1"/>
  <c r="H63" i="10" s="1"/>
  <c r="O63" i="10" s="1"/>
  <c r="F114" i="1"/>
  <c r="H117" i="1"/>
  <c r="K123" i="1"/>
  <c r="I129" i="1"/>
  <c r="F133" i="1"/>
  <c r="I133" i="1"/>
  <c r="F92" i="1"/>
  <c r="H61" i="10" s="1"/>
  <c r="O61" i="10" s="1"/>
  <c r="H132" i="1"/>
  <c r="H62" i="1"/>
  <c r="E92" i="1"/>
  <c r="H60" i="10" s="1"/>
  <c r="H31" i="1"/>
  <c r="I114" i="1"/>
  <c r="H83" i="5"/>
  <c r="I83" i="5"/>
  <c r="J83" i="5" s="1"/>
  <c r="K83" i="5" s="1"/>
  <c r="L83" i="5" s="1"/>
  <c r="H49" i="10"/>
  <c r="G154" i="5"/>
  <c r="I154" i="5" s="1"/>
  <c r="J154" i="5" s="1"/>
  <c r="K154" i="5" s="1"/>
  <c r="L154" i="5" s="1"/>
  <c r="G136" i="5"/>
  <c r="H136" i="5" s="1"/>
  <c r="G38" i="5"/>
  <c r="I38" i="5" s="1"/>
  <c r="J38" i="5" s="1"/>
  <c r="K38" i="5" s="1"/>
  <c r="L38" i="5" s="1"/>
  <c r="G158" i="5"/>
  <c r="P72" i="6"/>
  <c r="P71" i="6"/>
  <c r="G155" i="5"/>
  <c r="H155" i="5" s="1"/>
  <c r="G105" i="5"/>
  <c r="H105" i="5" s="1"/>
  <c r="I25" i="10"/>
  <c r="P26" i="8"/>
  <c r="I20" i="10"/>
  <c r="H12" i="10"/>
  <c r="I12" i="10" s="1"/>
  <c r="P10" i="8"/>
  <c r="I19" i="10"/>
  <c r="P23" i="8"/>
  <c r="G17" i="5"/>
  <c r="G11" i="5"/>
  <c r="G77" i="5"/>
  <c r="H77" i="5" s="1"/>
  <c r="H76" i="5" s="1"/>
  <c r="H75" i="5"/>
  <c r="L32" i="11"/>
  <c r="P32" i="6"/>
  <c r="I117" i="10"/>
  <c r="G43" i="5"/>
  <c r="G14" i="5"/>
  <c r="G130" i="5"/>
  <c r="H130" i="5" s="1"/>
  <c r="H17" i="11"/>
  <c r="L58" i="11"/>
  <c r="G13" i="5"/>
  <c r="I13" i="5" s="1"/>
  <c r="J13" i="5" s="1"/>
  <c r="K13" i="5" s="1"/>
  <c r="L13" i="5" s="1"/>
  <c r="K90" i="11"/>
  <c r="F72" i="11"/>
  <c r="H66" i="11"/>
  <c r="K62" i="11"/>
  <c r="L51" i="11"/>
  <c r="H50" i="11"/>
  <c r="H39" i="11"/>
  <c r="L28" i="11"/>
  <c r="L25" i="11"/>
  <c r="H24" i="11"/>
  <c r="H16" i="11"/>
  <c r="E41" i="11"/>
  <c r="I21" i="10"/>
  <c r="J51" i="10"/>
  <c r="P12" i="8"/>
  <c r="H86" i="5"/>
  <c r="L16" i="11"/>
  <c r="G40" i="5"/>
  <c r="H40" i="5" s="1"/>
  <c r="G39" i="5"/>
  <c r="G113" i="5"/>
  <c r="H113" i="5" s="1"/>
  <c r="G129" i="5"/>
  <c r="H103" i="11"/>
  <c r="H104" i="11" s="1"/>
  <c r="F96" i="11"/>
  <c r="H33" i="11"/>
  <c r="I75" i="5"/>
  <c r="G20" i="5"/>
  <c r="H20" i="5" s="1"/>
  <c r="G45" i="5"/>
  <c r="H45" i="5" s="1"/>
  <c r="K71" i="11"/>
  <c r="H34" i="11"/>
  <c r="F82" i="11"/>
  <c r="H45" i="10"/>
  <c r="I212" i="10"/>
  <c r="G106" i="5"/>
  <c r="G46" i="5"/>
  <c r="G79" i="5"/>
  <c r="G81" i="5" s="1"/>
  <c r="H81" i="5" s="1"/>
  <c r="H82" i="5" s="1"/>
  <c r="H85" i="11"/>
  <c r="H86" i="11" s="1"/>
  <c r="H48" i="11"/>
  <c r="L99" i="11"/>
  <c r="K64" i="11"/>
  <c r="K60" i="11"/>
  <c r="H44" i="11"/>
  <c r="L34" i="11"/>
  <c r="L22" i="11"/>
  <c r="I29" i="10"/>
  <c r="P11" i="8"/>
  <c r="P51" i="6"/>
  <c r="P29" i="6"/>
  <c r="G19" i="5"/>
  <c r="K37" i="11"/>
  <c r="K30" i="11"/>
  <c r="K26" i="11"/>
  <c r="P23" i="6"/>
  <c r="H22" i="5"/>
  <c r="G137" i="5"/>
  <c r="G41" i="5"/>
  <c r="E86" i="11"/>
  <c r="L93" i="11"/>
  <c r="L102" i="11"/>
  <c r="F100" i="11"/>
  <c r="L57" i="11"/>
  <c r="H49" i="11"/>
  <c r="P49" i="6"/>
  <c r="P26" i="6"/>
  <c r="I116" i="10"/>
  <c r="P31" i="6"/>
  <c r="G84" i="5"/>
  <c r="I84" i="5" s="1"/>
  <c r="I66" i="10"/>
  <c r="H119" i="5"/>
  <c r="I119" i="5"/>
  <c r="J119" i="5" s="1"/>
  <c r="K119" i="5" s="1"/>
  <c r="L119" i="5" s="1"/>
  <c r="G121" i="5"/>
  <c r="H121" i="5" s="1"/>
  <c r="G54" i="5"/>
  <c r="H54" i="5" s="1"/>
  <c r="H55" i="5" s="1"/>
  <c r="I52" i="5"/>
  <c r="H52" i="5"/>
  <c r="G107" i="5"/>
  <c r="L90" i="11"/>
  <c r="F91" i="11"/>
  <c r="H69" i="11"/>
  <c r="L53" i="11"/>
  <c r="L49" i="11"/>
  <c r="K39" i="11"/>
  <c r="H37" i="11"/>
  <c r="H31" i="11"/>
  <c r="H25" i="11"/>
  <c r="H15" i="11"/>
  <c r="K102" i="11"/>
  <c r="K104" i="11" s="1"/>
  <c r="E75" i="11"/>
  <c r="E104" i="11"/>
  <c r="P33" i="6"/>
  <c r="I145" i="10"/>
  <c r="I226" i="10"/>
  <c r="I85" i="5"/>
  <c r="J85" i="5" s="1"/>
  <c r="K85" i="5" s="1"/>
  <c r="L85" i="5" s="1"/>
  <c r="G87" i="5"/>
  <c r="K69" i="11"/>
  <c r="L31" i="11"/>
  <c r="H23" i="11"/>
  <c r="K15" i="11"/>
  <c r="P73" i="6"/>
  <c r="H57" i="11"/>
  <c r="H51" i="11"/>
  <c r="L37" i="11"/>
  <c r="L33" i="11"/>
  <c r="L29" i="11"/>
  <c r="L23" i="11"/>
  <c r="H22" i="11"/>
  <c r="E67" i="11"/>
  <c r="K43" i="11"/>
  <c r="H43" i="11"/>
  <c r="H95" i="11"/>
  <c r="L95" i="11"/>
  <c r="K95" i="11"/>
  <c r="K96" i="11" s="1"/>
  <c r="P84" i="6"/>
  <c r="G164" i="5"/>
  <c r="H46" i="10"/>
  <c r="L18" i="11"/>
  <c r="H18" i="11"/>
  <c r="K18" i="11"/>
  <c r="H40" i="11"/>
  <c r="L40" i="11"/>
  <c r="K40" i="11"/>
  <c r="H70" i="11"/>
  <c r="L70" i="11"/>
  <c r="L72" i="11" s="1"/>
  <c r="E72" i="11"/>
  <c r="K70" i="11"/>
  <c r="E82" i="11"/>
  <c r="H80" i="11"/>
  <c r="L80" i="11"/>
  <c r="K80" i="11"/>
  <c r="H65" i="1"/>
  <c r="K65" i="1"/>
  <c r="L65" i="1"/>
  <c r="L43" i="11"/>
  <c r="E96" i="11"/>
  <c r="I109" i="1"/>
  <c r="L77" i="11"/>
  <c r="L78" i="11" s="1"/>
  <c r="H77" i="11"/>
  <c r="E78" i="11"/>
  <c r="K77" i="11"/>
  <c r="K78" i="11" s="1"/>
  <c r="K21" i="11"/>
  <c r="H21" i="11"/>
  <c r="L21" i="11"/>
  <c r="H81" i="11"/>
  <c r="K81" i="11"/>
  <c r="L81" i="11"/>
  <c r="H50" i="10"/>
  <c r="P50" i="10" s="1"/>
  <c r="P15" i="6"/>
  <c r="G42" i="5"/>
  <c r="H135" i="1"/>
  <c r="K135" i="1"/>
  <c r="K136" i="1" s="1"/>
  <c r="E136" i="1"/>
  <c r="L135" i="1"/>
  <c r="L136" i="1" s="1"/>
  <c r="H44" i="10"/>
  <c r="P44" i="10" s="1"/>
  <c r="G37" i="5"/>
  <c r="K120" i="1"/>
  <c r="E125" i="1"/>
  <c r="L120" i="1"/>
  <c r="K35" i="1"/>
  <c r="H35" i="1"/>
  <c r="L35" i="1"/>
  <c r="H131" i="1"/>
  <c r="K131" i="1"/>
  <c r="L131" i="1"/>
  <c r="E133" i="1"/>
  <c r="F67" i="11"/>
  <c r="K106" i="11"/>
  <c r="K110" i="11" s="1"/>
  <c r="E110" i="11"/>
  <c r="L106" i="11"/>
  <c r="L110" i="11" s="1"/>
  <c r="H106" i="11"/>
  <c r="F14" i="11"/>
  <c r="F35" i="11" s="1"/>
  <c r="K14" i="11"/>
  <c r="E35" i="11"/>
  <c r="L14" i="11"/>
  <c r="L20" i="11"/>
  <c r="H20" i="11"/>
  <c r="L89" i="11"/>
  <c r="H89" i="11"/>
  <c r="P82" i="6"/>
  <c r="G157" i="5"/>
  <c r="H122" i="1"/>
  <c r="K122" i="1"/>
  <c r="P16" i="8"/>
  <c r="G15" i="5"/>
  <c r="P50" i="6"/>
  <c r="I215" i="10"/>
  <c r="K103" i="1"/>
  <c r="K105" i="1" s="1"/>
  <c r="H103" i="1"/>
  <c r="E105" i="1"/>
  <c r="K30" i="1"/>
  <c r="H30" i="1"/>
  <c r="L30" i="1"/>
  <c r="K49" i="1"/>
  <c r="H49" i="1"/>
  <c r="H51" i="1" s="1"/>
  <c r="H69" i="1"/>
  <c r="K69" i="1"/>
  <c r="I156" i="5"/>
  <c r="J156" i="5" s="1"/>
  <c r="K156" i="5" s="1"/>
  <c r="L156" i="5" s="1"/>
  <c r="H156" i="5"/>
  <c r="I75" i="11"/>
  <c r="H38" i="11"/>
  <c r="L38" i="11"/>
  <c r="I52" i="10"/>
  <c r="G44" i="5"/>
  <c r="H44" i="5" s="1"/>
  <c r="L121" i="1"/>
  <c r="H121" i="1"/>
  <c r="I144" i="10"/>
  <c r="P35" i="6"/>
  <c r="I217" i="10"/>
  <c r="H37" i="1"/>
  <c r="K37" i="1"/>
  <c r="H73" i="1"/>
  <c r="K73" i="1"/>
  <c r="K124" i="1"/>
  <c r="H124" i="1"/>
  <c r="H72" i="5"/>
  <c r="H74" i="5"/>
  <c r="H45" i="11"/>
  <c r="L45" i="11"/>
  <c r="L61" i="11"/>
  <c r="H61" i="11"/>
  <c r="K65" i="11"/>
  <c r="H65" i="11"/>
  <c r="L19" i="11"/>
  <c r="H19" i="11"/>
  <c r="F84" i="11"/>
  <c r="F86" i="11" s="1"/>
  <c r="L84" i="11"/>
  <c r="K84" i="11"/>
  <c r="K86" i="11" s="1"/>
  <c r="L112" i="1"/>
  <c r="K112" i="1"/>
  <c r="E114" i="1"/>
  <c r="G16" i="5"/>
  <c r="P18" i="8"/>
  <c r="I18" i="10"/>
  <c r="P27" i="6"/>
  <c r="P38" i="6"/>
  <c r="I146" i="10"/>
  <c r="P45" i="6"/>
  <c r="I211" i="10"/>
  <c r="K67" i="1"/>
  <c r="H67" i="1"/>
  <c r="L67" i="1"/>
  <c r="H61" i="1"/>
  <c r="K61" i="1"/>
  <c r="K54" i="1"/>
  <c r="H54" i="1"/>
  <c r="L54" i="1"/>
  <c r="K128" i="1"/>
  <c r="K129" i="1" s="1"/>
  <c r="E129" i="1"/>
  <c r="H128" i="1"/>
  <c r="L128" i="1"/>
  <c r="G129" i="9"/>
  <c r="G131" i="9" s="1"/>
  <c r="K100" i="11"/>
  <c r="D125" i="1"/>
  <c r="D137" i="1" s="1"/>
  <c r="H21" i="5"/>
  <c r="G18" i="5"/>
  <c r="G153" i="5"/>
  <c r="H153" i="5" s="1"/>
  <c r="K89" i="11"/>
  <c r="I67" i="11"/>
  <c r="K132" i="1"/>
  <c r="I225" i="10"/>
  <c r="H12" i="5"/>
  <c r="K20" i="11"/>
  <c r="F41" i="11"/>
  <c r="H14" i="11"/>
  <c r="E91" i="11"/>
  <c r="I164" i="10"/>
  <c r="P21" i="6"/>
  <c r="M33" i="8"/>
  <c r="L103" i="1"/>
  <c r="M34" i="1"/>
  <c r="N34" i="1" s="1"/>
  <c r="L49" i="1"/>
  <c r="L51" i="1" s="1"/>
  <c r="L69" i="1"/>
  <c r="K27" i="11"/>
  <c r="H27" i="11"/>
  <c r="H47" i="11"/>
  <c r="L47" i="11"/>
  <c r="H55" i="11"/>
  <c r="L55" i="11"/>
  <c r="L59" i="11"/>
  <c r="H59" i="11"/>
  <c r="L63" i="11"/>
  <c r="H63" i="11"/>
  <c r="K88" i="11"/>
  <c r="H88" i="11"/>
  <c r="E100" i="11"/>
  <c r="H98" i="11"/>
  <c r="L98" i="11"/>
  <c r="P25" i="6"/>
  <c r="I115" i="10"/>
  <c r="P30" i="6"/>
  <c r="I213" i="10"/>
  <c r="P48" i="6"/>
  <c r="I194" i="10"/>
  <c r="P43" i="6"/>
  <c r="K39" i="1"/>
  <c r="H39" i="1"/>
  <c r="K71" i="1"/>
  <c r="H71" i="1"/>
  <c r="K63" i="1"/>
  <c r="H63" i="1"/>
  <c r="H83" i="1"/>
  <c r="K83" i="1"/>
  <c r="A92" i="1"/>
  <c r="I35" i="11"/>
  <c r="M33" i="1"/>
  <c r="N33" i="1" s="1"/>
  <c r="I125" i="1"/>
  <c r="I233" i="10" l="1"/>
  <c r="I46" i="10"/>
  <c r="P46" i="10"/>
  <c r="I45" i="10"/>
  <c r="P45" i="10"/>
  <c r="I49" i="10"/>
  <c r="P49" i="10"/>
  <c r="J188" i="10"/>
  <c r="O188" i="10"/>
  <c r="J60" i="10"/>
  <c r="O60" i="10"/>
  <c r="J45" i="10"/>
  <c r="L40" i="1"/>
  <c r="L74" i="1"/>
  <c r="K74" i="1"/>
  <c r="H74" i="1"/>
  <c r="H40" i="1"/>
  <c r="K40" i="1"/>
  <c r="I44" i="10"/>
  <c r="I137" i="1"/>
  <c r="K51" i="1"/>
  <c r="G60" i="5" s="1"/>
  <c r="H60" i="5" s="1"/>
  <c r="F137" i="1"/>
  <c r="M15" i="1"/>
  <c r="L86" i="11"/>
  <c r="M85" i="11"/>
  <c r="N85" i="11" s="1"/>
  <c r="K32" i="10"/>
  <c r="I76" i="10"/>
  <c r="J76" i="10"/>
  <c r="I75" i="10"/>
  <c r="J75" i="10"/>
  <c r="I61" i="10"/>
  <c r="J61" i="10"/>
  <c r="I63" i="10"/>
  <c r="J63" i="10"/>
  <c r="I84" i="10"/>
  <c r="J84" i="10"/>
  <c r="I82" i="10"/>
  <c r="J82" i="10"/>
  <c r="I72" i="10"/>
  <c r="J72" i="10"/>
  <c r="J12" i="10"/>
  <c r="J19" i="10"/>
  <c r="J18" i="10"/>
  <c r="J21" i="10"/>
  <c r="J20" i="10"/>
  <c r="I15" i="10"/>
  <c r="J15" i="10"/>
  <c r="J46" i="10"/>
  <c r="J44" i="10"/>
  <c r="J49" i="10"/>
  <c r="K45" i="10"/>
  <c r="I50" i="10"/>
  <c r="J50" i="10"/>
  <c r="I51" i="10"/>
  <c r="K51" i="10"/>
  <c r="K58" i="10" s="1"/>
  <c r="K250" i="10" s="1"/>
  <c r="H73" i="10"/>
  <c r="O73" i="10" s="1"/>
  <c r="M52" i="11"/>
  <c r="N52" i="11" s="1"/>
  <c r="M99" i="11"/>
  <c r="N99" i="11" s="1"/>
  <c r="M58" i="11"/>
  <c r="N58" i="11" s="1"/>
  <c r="M54" i="11"/>
  <c r="N54" i="11" s="1"/>
  <c r="H96" i="11"/>
  <c r="M17" i="11"/>
  <c r="N17" i="11" s="1"/>
  <c r="I60" i="10"/>
  <c r="M32" i="11"/>
  <c r="N32" i="11" s="1"/>
  <c r="M64" i="11"/>
  <c r="N64" i="11" s="1"/>
  <c r="M27" i="1"/>
  <c r="N27" i="1" s="1"/>
  <c r="I231" i="10"/>
  <c r="I188" i="10"/>
  <c r="M19" i="1"/>
  <c r="N19" i="1" s="1"/>
  <c r="M31" i="1"/>
  <c r="N31" i="1" s="1"/>
  <c r="M60" i="11"/>
  <c r="N60" i="11" s="1"/>
  <c r="M30" i="11"/>
  <c r="N30" i="11" s="1"/>
  <c r="M71" i="11"/>
  <c r="N71" i="11" s="1"/>
  <c r="M44" i="11"/>
  <c r="N44" i="11" s="1"/>
  <c r="M33" i="11"/>
  <c r="N33" i="11" s="1"/>
  <c r="M48" i="11"/>
  <c r="N48" i="11" s="1"/>
  <c r="M26" i="11"/>
  <c r="N26" i="11" s="1"/>
  <c r="I111" i="11"/>
  <c r="M74" i="11"/>
  <c r="N74" i="11" s="1"/>
  <c r="H13" i="5"/>
  <c r="L104" i="11"/>
  <c r="M50" i="11"/>
  <c r="N50" i="11" s="1"/>
  <c r="M62" i="11"/>
  <c r="N62" i="11" s="1"/>
  <c r="M66" i="11"/>
  <c r="N66" i="11" s="1"/>
  <c r="M31" i="11"/>
  <c r="N31" i="11" s="1"/>
  <c r="L96" i="11"/>
  <c r="M29" i="11"/>
  <c r="N29" i="11" s="1"/>
  <c r="M56" i="11"/>
  <c r="N56" i="11" s="1"/>
  <c r="M103" i="11"/>
  <c r="N103" i="11" s="1"/>
  <c r="M28" i="11"/>
  <c r="N28" i="11" s="1"/>
  <c r="I155" i="5"/>
  <c r="J155" i="5" s="1"/>
  <c r="K155" i="5" s="1"/>
  <c r="L155" i="5" s="1"/>
  <c r="M24" i="11"/>
  <c r="N24" i="11" s="1"/>
  <c r="M49" i="11"/>
  <c r="N49" i="11" s="1"/>
  <c r="I171" i="5"/>
  <c r="J171" i="5" s="1"/>
  <c r="K171" i="5" s="1"/>
  <c r="L171" i="5" s="1"/>
  <c r="M100" i="1"/>
  <c r="M101" i="1" s="1"/>
  <c r="G116" i="5"/>
  <c r="H116" i="5" s="1"/>
  <c r="H115" i="5" s="1"/>
  <c r="M91" i="1"/>
  <c r="N91" i="1" s="1"/>
  <c r="G61" i="5"/>
  <c r="H61" i="5" s="1"/>
  <c r="M104" i="1"/>
  <c r="N104" i="1" s="1"/>
  <c r="M72" i="1"/>
  <c r="N72" i="1" s="1"/>
  <c r="M64" i="1"/>
  <c r="N64" i="1" s="1"/>
  <c r="M127" i="1"/>
  <c r="N127" i="1" s="1"/>
  <c r="M66" i="1"/>
  <c r="N66" i="1" s="1"/>
  <c r="M93" i="11"/>
  <c r="N93" i="11" s="1"/>
  <c r="M69" i="11"/>
  <c r="N69" i="11" s="1"/>
  <c r="M53" i="11"/>
  <c r="N53" i="11" s="1"/>
  <c r="M34" i="11"/>
  <c r="N34" i="11" s="1"/>
  <c r="M16" i="11"/>
  <c r="N16" i="11" s="1"/>
  <c r="M57" i="11"/>
  <c r="N57" i="11" s="1"/>
  <c r="M39" i="11"/>
  <c r="N39" i="11" s="1"/>
  <c r="M38" i="1"/>
  <c r="N38" i="1" s="1"/>
  <c r="M108" i="1"/>
  <c r="N108" i="1" s="1"/>
  <c r="M16" i="1"/>
  <c r="N16" i="1" s="1"/>
  <c r="H136" i="10"/>
  <c r="M36" i="1"/>
  <c r="N36" i="1" s="1"/>
  <c r="L129" i="1"/>
  <c r="M62" i="1"/>
  <c r="M50" i="1"/>
  <c r="N50" i="1" s="1"/>
  <c r="M14" i="1"/>
  <c r="N14" i="1" s="1"/>
  <c r="M21" i="1"/>
  <c r="N21" i="1" s="1"/>
  <c r="M60" i="1"/>
  <c r="N60" i="1" s="1"/>
  <c r="M53" i="1"/>
  <c r="N53" i="1" s="1"/>
  <c r="M70" i="1"/>
  <c r="N70" i="1" s="1"/>
  <c r="L105" i="1"/>
  <c r="H86" i="10" s="1"/>
  <c r="O86" i="10" s="1"/>
  <c r="L92" i="1"/>
  <c r="H65" i="10" s="1"/>
  <c r="O65" i="10" s="1"/>
  <c r="M32" i="1"/>
  <c r="N32" i="1" s="1"/>
  <c r="M76" i="1"/>
  <c r="N76" i="1" s="1"/>
  <c r="I20" i="5"/>
  <c r="J20" i="5" s="1"/>
  <c r="K20" i="5" s="1"/>
  <c r="L20" i="5" s="1"/>
  <c r="H84" i="5"/>
  <c r="H38" i="5"/>
  <c r="M24" i="1"/>
  <c r="N24" i="1" s="1"/>
  <c r="M71" i="1"/>
  <c r="N71" i="1" s="1"/>
  <c r="K92" i="1"/>
  <c r="H64" i="10" s="1"/>
  <c r="O64" i="10" s="1"/>
  <c r="H169" i="5"/>
  <c r="M68" i="1"/>
  <c r="N68" i="1" s="1"/>
  <c r="M123" i="1"/>
  <c r="N123" i="1" s="1"/>
  <c r="J41" i="10"/>
  <c r="L133" i="1"/>
  <c r="H178" i="10" s="1"/>
  <c r="O178" i="10" s="1"/>
  <c r="M65" i="1"/>
  <c r="N65" i="1" s="1"/>
  <c r="K72" i="11"/>
  <c r="G34" i="5"/>
  <c r="I34" i="5" s="1"/>
  <c r="J34" i="5" s="1"/>
  <c r="K34" i="5" s="1"/>
  <c r="L34" i="5" s="1"/>
  <c r="M61" i="1"/>
  <c r="N61" i="1" s="1"/>
  <c r="K125" i="1"/>
  <c r="G151" i="5" s="1"/>
  <c r="M117" i="1"/>
  <c r="N117" i="1" s="1"/>
  <c r="N113" i="1"/>
  <c r="G98" i="5"/>
  <c r="H98" i="5" s="1"/>
  <c r="K109" i="1"/>
  <c r="K114" i="1"/>
  <c r="M132" i="1"/>
  <c r="N132" i="1" s="1"/>
  <c r="G148" i="5"/>
  <c r="H206" i="10"/>
  <c r="H174" i="10"/>
  <c r="O174" i="10" s="1"/>
  <c r="G124" i="5"/>
  <c r="H134" i="10"/>
  <c r="G96" i="5"/>
  <c r="M128" i="1"/>
  <c r="N128" i="1" s="1"/>
  <c r="M83" i="1"/>
  <c r="N83" i="1" s="1"/>
  <c r="M112" i="1"/>
  <c r="N112" i="1" s="1"/>
  <c r="M124" i="1"/>
  <c r="N124" i="1" s="1"/>
  <c r="H176" i="10"/>
  <c r="O176" i="10" s="1"/>
  <c r="G126" i="5"/>
  <c r="M37" i="1"/>
  <c r="N37" i="1" s="1"/>
  <c r="M122" i="1"/>
  <c r="N122" i="1" s="1"/>
  <c r="G145" i="5"/>
  <c r="H145" i="5" s="1"/>
  <c r="H146" i="5" s="1"/>
  <c r="I79" i="5"/>
  <c r="J79" i="5" s="1"/>
  <c r="H137" i="5"/>
  <c r="H79" i="5"/>
  <c r="I105" i="5"/>
  <c r="J105" i="5" s="1"/>
  <c r="K105" i="5" s="1"/>
  <c r="L105" i="5" s="1"/>
  <c r="I136" i="5"/>
  <c r="H158" i="5"/>
  <c r="I158" i="5"/>
  <c r="J158" i="5" s="1"/>
  <c r="K158" i="5" s="1"/>
  <c r="L158" i="5" s="1"/>
  <c r="H154" i="5"/>
  <c r="H80" i="5"/>
  <c r="I11" i="5"/>
  <c r="H11" i="5"/>
  <c r="H17" i="5"/>
  <c r="I17" i="5"/>
  <c r="J17" i="5" s="1"/>
  <c r="K17" i="5" s="1"/>
  <c r="L17" i="5" s="1"/>
  <c r="H39" i="5"/>
  <c r="I39" i="5"/>
  <c r="J39" i="5" s="1"/>
  <c r="K39" i="5" s="1"/>
  <c r="L39" i="5" s="1"/>
  <c r="H43" i="5"/>
  <c r="I43" i="5"/>
  <c r="J43" i="5" s="1"/>
  <c r="K43" i="5" s="1"/>
  <c r="L43" i="5" s="1"/>
  <c r="H78" i="5"/>
  <c r="M51" i="11"/>
  <c r="N51" i="11" s="1"/>
  <c r="M90" i="11"/>
  <c r="N90" i="11" s="1"/>
  <c r="I40" i="5"/>
  <c r="J40" i="5" s="1"/>
  <c r="K40" i="5" s="1"/>
  <c r="L40" i="5" s="1"/>
  <c r="M22" i="11"/>
  <c r="N22" i="11" s="1"/>
  <c r="I130" i="5"/>
  <c r="J130" i="5" s="1"/>
  <c r="K130" i="5" s="1"/>
  <c r="L130" i="5" s="1"/>
  <c r="I129" i="5"/>
  <c r="J129" i="5" s="1"/>
  <c r="K129" i="5" s="1"/>
  <c r="L129" i="5" s="1"/>
  <c r="H129" i="5"/>
  <c r="I14" i="5"/>
  <c r="J14" i="5" s="1"/>
  <c r="K14" i="5" s="1"/>
  <c r="L14" i="5" s="1"/>
  <c r="H14" i="5"/>
  <c r="I228" i="10"/>
  <c r="I229" i="10" s="1"/>
  <c r="M25" i="11"/>
  <c r="N25" i="11" s="1"/>
  <c r="L100" i="11"/>
  <c r="K91" i="11"/>
  <c r="I46" i="5"/>
  <c r="J46" i="5" s="1"/>
  <c r="K46" i="5" s="1"/>
  <c r="L46" i="5" s="1"/>
  <c r="H46" i="5"/>
  <c r="I41" i="5"/>
  <c r="J41" i="5" s="1"/>
  <c r="K41" i="5" s="1"/>
  <c r="L41" i="5" s="1"/>
  <c r="H41" i="5"/>
  <c r="J75" i="5"/>
  <c r="I77" i="5"/>
  <c r="M55" i="11"/>
  <c r="N55" i="11" s="1"/>
  <c r="H53" i="5"/>
  <c r="I19" i="5"/>
  <c r="J19" i="5" s="1"/>
  <c r="K19" i="5" s="1"/>
  <c r="L19" i="5" s="1"/>
  <c r="H19" i="5"/>
  <c r="I106" i="5"/>
  <c r="J106" i="5" s="1"/>
  <c r="K106" i="5" s="1"/>
  <c r="L106" i="5" s="1"/>
  <c r="H106" i="5"/>
  <c r="L91" i="11"/>
  <c r="M59" i="11"/>
  <c r="N59" i="11" s="1"/>
  <c r="M15" i="11"/>
  <c r="N15" i="11" s="1"/>
  <c r="M84" i="11"/>
  <c r="N84" i="11" s="1"/>
  <c r="L41" i="11"/>
  <c r="M23" i="11"/>
  <c r="N23" i="11" s="1"/>
  <c r="I54" i="5"/>
  <c r="J52" i="5"/>
  <c r="I87" i="5"/>
  <c r="J87" i="5" s="1"/>
  <c r="K87" i="5" s="1"/>
  <c r="L87" i="5" s="1"/>
  <c r="H87" i="5"/>
  <c r="H32" i="10"/>
  <c r="I32" i="10" s="1"/>
  <c r="M40" i="11"/>
  <c r="N40" i="11" s="1"/>
  <c r="M37" i="11"/>
  <c r="N37" i="11" s="1"/>
  <c r="H120" i="5"/>
  <c r="H122" i="5"/>
  <c r="M65" i="11"/>
  <c r="N65" i="11" s="1"/>
  <c r="K41" i="11"/>
  <c r="K67" i="11"/>
  <c r="M102" i="11"/>
  <c r="N102" i="11" s="1"/>
  <c r="I107" i="5"/>
  <c r="J107" i="5" s="1"/>
  <c r="K107" i="5" s="1"/>
  <c r="L107" i="5" s="1"/>
  <c r="H107" i="5"/>
  <c r="F111" i="11"/>
  <c r="M38" i="11"/>
  <c r="N38" i="11" s="1"/>
  <c r="G58" i="5"/>
  <c r="I97" i="10"/>
  <c r="I98" i="10" s="1"/>
  <c r="I94" i="10"/>
  <c r="H91" i="11"/>
  <c r="M88" i="11"/>
  <c r="I163" i="10"/>
  <c r="I165" i="10"/>
  <c r="G31" i="5"/>
  <c r="H38" i="10"/>
  <c r="H16" i="5"/>
  <c r="I16" i="5"/>
  <c r="J16" i="5" s="1"/>
  <c r="K16" i="5" s="1"/>
  <c r="L16" i="5" s="1"/>
  <c r="H136" i="1"/>
  <c r="M135" i="1"/>
  <c r="H72" i="11"/>
  <c r="M70" i="11"/>
  <c r="N70" i="11" s="1"/>
  <c r="M120" i="1"/>
  <c r="H125" i="1"/>
  <c r="H37" i="5"/>
  <c r="I37" i="5"/>
  <c r="J37" i="5" s="1"/>
  <c r="K37" i="5" s="1"/>
  <c r="L37" i="5" s="1"/>
  <c r="G172" i="5"/>
  <c r="H234" i="10"/>
  <c r="O234" i="10" s="1"/>
  <c r="M77" i="11"/>
  <c r="H78" i="11"/>
  <c r="M80" i="11"/>
  <c r="H82" i="11"/>
  <c r="H208" i="10"/>
  <c r="G150" i="5"/>
  <c r="H100" i="11"/>
  <c r="M98" i="11"/>
  <c r="G30" i="5"/>
  <c r="H36" i="10"/>
  <c r="H85" i="10"/>
  <c r="O85" i="10" s="1"/>
  <c r="H173" i="10"/>
  <c r="O173" i="10" s="1"/>
  <c r="G123" i="5"/>
  <c r="G147" i="5"/>
  <c r="H205" i="10"/>
  <c r="H230" i="10"/>
  <c r="O230" i="10" s="1"/>
  <c r="G168" i="5"/>
  <c r="H138" i="10"/>
  <c r="G100" i="5"/>
  <c r="J84" i="5"/>
  <c r="M43" i="11"/>
  <c r="H67" i="11"/>
  <c r="M63" i="1"/>
  <c r="N63" i="1" s="1"/>
  <c r="M39" i="1"/>
  <c r="M19" i="11"/>
  <c r="N19" i="11" s="1"/>
  <c r="H129" i="1"/>
  <c r="M121" i="1"/>
  <c r="N121" i="1" s="1"/>
  <c r="K35" i="11"/>
  <c r="M21" i="11"/>
  <c r="N21" i="11" s="1"/>
  <c r="M63" i="11"/>
  <c r="N63" i="11" s="1"/>
  <c r="M27" i="11"/>
  <c r="N27" i="11" s="1"/>
  <c r="L114" i="1"/>
  <c r="G26" i="5"/>
  <c r="M67" i="1"/>
  <c r="N67" i="1" s="1"/>
  <c r="M45" i="11"/>
  <c r="N45" i="11" s="1"/>
  <c r="M73" i="1"/>
  <c r="N73" i="1" s="1"/>
  <c r="M49" i="1"/>
  <c r="E111" i="11"/>
  <c r="L82" i="11"/>
  <c r="K116" i="1"/>
  <c r="K118" i="1" s="1"/>
  <c r="H191" i="10" s="1"/>
  <c r="H116" i="1"/>
  <c r="E118" i="1"/>
  <c r="H187" i="10" s="1"/>
  <c r="L116" i="1"/>
  <c r="L118" i="1" s="1"/>
  <c r="H192" i="10" s="1"/>
  <c r="H81" i="10"/>
  <c r="M14" i="11"/>
  <c r="H35" i="11"/>
  <c r="G99" i="5"/>
  <c r="H137" i="10"/>
  <c r="I18" i="5"/>
  <c r="J18" i="5" s="1"/>
  <c r="K18" i="5" s="1"/>
  <c r="L18" i="5" s="1"/>
  <c r="H18" i="5"/>
  <c r="I113" i="10"/>
  <c r="I132" i="10"/>
  <c r="G97" i="5"/>
  <c r="H135" i="10"/>
  <c r="H105" i="1"/>
  <c r="M103" i="1"/>
  <c r="H15" i="5"/>
  <c r="I15" i="5"/>
  <c r="I157" i="5"/>
  <c r="J157" i="5" s="1"/>
  <c r="K157" i="5" s="1"/>
  <c r="L157" i="5" s="1"/>
  <c r="H157" i="5"/>
  <c r="M106" i="11"/>
  <c r="H110" i="11"/>
  <c r="M131" i="1"/>
  <c r="H133" i="1"/>
  <c r="H235" i="10"/>
  <c r="O235" i="10" s="1"/>
  <c r="G173" i="5"/>
  <c r="I42" i="5"/>
  <c r="J42" i="5" s="1"/>
  <c r="K42" i="5" s="1"/>
  <c r="L42" i="5" s="1"/>
  <c r="H42" i="5"/>
  <c r="G166" i="5"/>
  <c r="H166" i="5" s="1"/>
  <c r="H164" i="5"/>
  <c r="I164" i="5"/>
  <c r="K133" i="1"/>
  <c r="M61" i="11"/>
  <c r="N61" i="11" s="1"/>
  <c r="M20" i="11"/>
  <c r="N20" i="11" s="1"/>
  <c r="M35" i="1"/>
  <c r="N35" i="1" s="1"/>
  <c r="M47" i="11"/>
  <c r="N47" i="11" s="1"/>
  <c r="H41" i="11"/>
  <c r="M54" i="1"/>
  <c r="H92" i="1"/>
  <c r="H62" i="10" s="1"/>
  <c r="O62" i="10" s="1"/>
  <c r="M69" i="1"/>
  <c r="N69" i="1" s="1"/>
  <c r="M30" i="1"/>
  <c r="N30" i="1" s="1"/>
  <c r="M89" i="11"/>
  <c r="N89" i="11" s="1"/>
  <c r="L35" i="11"/>
  <c r="L125" i="1"/>
  <c r="M81" i="11"/>
  <c r="N81" i="11" s="1"/>
  <c r="L67" i="11"/>
  <c r="K82" i="11"/>
  <c r="M18" i="11"/>
  <c r="N18" i="11" s="1"/>
  <c r="M95" i="11"/>
  <c r="O36" i="10" l="1"/>
  <c r="P250" i="10"/>
  <c r="P252" i="10" s="1"/>
  <c r="H43" i="10"/>
  <c r="O43" i="10" s="1"/>
  <c r="J192" i="10"/>
  <c r="O192" i="10"/>
  <c r="J38" i="10"/>
  <c r="O38" i="10"/>
  <c r="J136" i="10"/>
  <c r="O136" i="10"/>
  <c r="J135" i="10"/>
  <c r="O135" i="10"/>
  <c r="J187" i="10"/>
  <c r="O187" i="10"/>
  <c r="J205" i="10"/>
  <c r="O205" i="10"/>
  <c r="J206" i="10"/>
  <c r="O206" i="10"/>
  <c r="J138" i="10"/>
  <c r="O138" i="10"/>
  <c r="J134" i="10"/>
  <c r="O134" i="10"/>
  <c r="J137" i="10"/>
  <c r="O137" i="10"/>
  <c r="J81" i="10"/>
  <c r="O81" i="10"/>
  <c r="J191" i="10"/>
  <c r="O191" i="10"/>
  <c r="J208" i="10"/>
  <c r="O208" i="10"/>
  <c r="H40" i="10"/>
  <c r="O40" i="10" s="1"/>
  <c r="M40" i="1"/>
  <c r="N40" i="1" s="1"/>
  <c r="N41" i="1" s="1"/>
  <c r="N54" i="1"/>
  <c r="M74" i="1"/>
  <c r="H42" i="10"/>
  <c r="N49" i="1"/>
  <c r="M51" i="1"/>
  <c r="N51" i="1" s="1"/>
  <c r="L137" i="1"/>
  <c r="E137" i="1"/>
  <c r="F139" i="1" s="1"/>
  <c r="K137" i="1"/>
  <c r="N15" i="1"/>
  <c r="J36" i="10"/>
  <c r="N62" i="1"/>
  <c r="N39" i="1"/>
  <c r="M75" i="11"/>
  <c r="N75" i="11" s="1"/>
  <c r="N76" i="11" s="1"/>
  <c r="K252" i="10"/>
  <c r="K256" i="10" s="1"/>
  <c r="I62" i="10"/>
  <c r="J62" i="10"/>
  <c r="I65" i="10"/>
  <c r="J65" i="10"/>
  <c r="I85" i="10"/>
  <c r="J85" i="10"/>
  <c r="I64" i="10"/>
  <c r="J64" i="10"/>
  <c r="I86" i="10"/>
  <c r="J86" i="10"/>
  <c r="I73" i="10"/>
  <c r="J73" i="10"/>
  <c r="J79" i="10" s="1"/>
  <c r="J32" i="10"/>
  <c r="H79" i="10"/>
  <c r="I79" i="10" s="1"/>
  <c r="I78" i="10" s="1"/>
  <c r="N100" i="1"/>
  <c r="N101" i="1"/>
  <c r="N102" i="1" s="1"/>
  <c r="H69" i="10"/>
  <c r="I137" i="10"/>
  <c r="I235" i="10"/>
  <c r="I192" i="10"/>
  <c r="I176" i="10"/>
  <c r="I174" i="10"/>
  <c r="I136" i="10"/>
  <c r="I134" i="10"/>
  <c r="I138" i="10"/>
  <c r="I206" i="10"/>
  <c r="I41" i="10"/>
  <c r="I208" i="10"/>
  <c r="I191" i="10"/>
  <c r="I234" i="10"/>
  <c r="I38" i="10"/>
  <c r="I178" i="10"/>
  <c r="H117" i="5"/>
  <c r="M109" i="1"/>
  <c r="N109" i="1" s="1"/>
  <c r="N110" i="1" s="1"/>
  <c r="M92" i="1"/>
  <c r="N92" i="1" s="1"/>
  <c r="N93" i="1" s="1"/>
  <c r="G128" i="5"/>
  <c r="I128" i="5" s="1"/>
  <c r="J128" i="5" s="1"/>
  <c r="K128" i="5" s="1"/>
  <c r="L128" i="5" s="1"/>
  <c r="H144" i="5"/>
  <c r="H34" i="5"/>
  <c r="J39" i="10"/>
  <c r="G32" i="5"/>
  <c r="H32" i="5" s="1"/>
  <c r="G35" i="5"/>
  <c r="I35" i="5" s="1"/>
  <c r="J35" i="5" s="1"/>
  <c r="K35" i="5" s="1"/>
  <c r="L35" i="5" s="1"/>
  <c r="H209" i="10"/>
  <c r="G36" i="5"/>
  <c r="I36" i="5" s="1"/>
  <c r="J36" i="5" s="1"/>
  <c r="K36" i="5" s="1"/>
  <c r="L36" i="5" s="1"/>
  <c r="M114" i="1"/>
  <c r="I98" i="5"/>
  <c r="J98" i="5" s="1"/>
  <c r="K98" i="5" s="1"/>
  <c r="L98" i="5" s="1"/>
  <c r="G101" i="5"/>
  <c r="H139" i="10"/>
  <c r="I148" i="5"/>
  <c r="J148" i="5" s="1"/>
  <c r="K148" i="5" s="1"/>
  <c r="L148" i="5" s="1"/>
  <c r="H148" i="5"/>
  <c r="I96" i="5"/>
  <c r="J96" i="5" s="1"/>
  <c r="K96" i="5" s="1"/>
  <c r="L96" i="5" s="1"/>
  <c r="H96" i="5"/>
  <c r="H126" i="5"/>
  <c r="I126" i="5"/>
  <c r="J126" i="5" s="1"/>
  <c r="K126" i="5" s="1"/>
  <c r="L126" i="5" s="1"/>
  <c r="I124" i="5"/>
  <c r="J124" i="5" s="1"/>
  <c r="K124" i="5" s="1"/>
  <c r="L124" i="5" s="1"/>
  <c r="H124" i="5"/>
  <c r="M129" i="1"/>
  <c r="N129" i="1" s="1"/>
  <c r="N130" i="1" s="1"/>
  <c r="I227" i="10"/>
  <c r="I81" i="5"/>
  <c r="J136" i="5"/>
  <c r="I145" i="5"/>
  <c r="I88" i="5"/>
  <c r="J11" i="5"/>
  <c r="I118" i="5"/>
  <c r="I121" i="5" s="1"/>
  <c r="M72" i="11"/>
  <c r="N72" i="11" s="1"/>
  <c r="N73" i="11" s="1"/>
  <c r="M86" i="11"/>
  <c r="N86" i="11" s="1"/>
  <c r="N87" i="11" s="1"/>
  <c r="J77" i="5"/>
  <c r="K75" i="5"/>
  <c r="K52" i="5"/>
  <c r="J54" i="5"/>
  <c r="M41" i="11"/>
  <c r="N41" i="11" s="1"/>
  <c r="N42" i="11" s="1"/>
  <c r="M104" i="11"/>
  <c r="N104" i="11" s="1"/>
  <c r="N105" i="11" s="1"/>
  <c r="J164" i="5"/>
  <c r="I166" i="5"/>
  <c r="N106" i="11"/>
  <c r="M110" i="11"/>
  <c r="N110" i="11" s="1"/>
  <c r="G33" i="5"/>
  <c r="G127" i="5"/>
  <c r="H177" i="10"/>
  <c r="O177" i="10" s="1"/>
  <c r="H165" i="5"/>
  <c r="H167" i="5"/>
  <c r="N131" i="1"/>
  <c r="M133" i="1"/>
  <c r="N133" i="1" s="1"/>
  <c r="N134" i="1" s="1"/>
  <c r="H83" i="10"/>
  <c r="O83" i="10" s="1"/>
  <c r="I97" i="5"/>
  <c r="H97" i="5"/>
  <c r="H118" i="1"/>
  <c r="H189" i="10" s="1"/>
  <c r="O189" i="10" s="1"/>
  <c r="M116" i="1"/>
  <c r="H26" i="5"/>
  <c r="N43" i="11"/>
  <c r="M67" i="11"/>
  <c r="N67" i="11" s="1"/>
  <c r="N68" i="11" s="1"/>
  <c r="I147" i="5"/>
  <c r="H147" i="5"/>
  <c r="N80" i="11"/>
  <c r="M82" i="11"/>
  <c r="N82" i="11" s="1"/>
  <c r="N83" i="11" s="1"/>
  <c r="H172" i="5"/>
  <c r="I172" i="5"/>
  <c r="J172" i="5" s="1"/>
  <c r="K172" i="5" s="1"/>
  <c r="L172" i="5" s="1"/>
  <c r="M125" i="1"/>
  <c r="N125" i="1" s="1"/>
  <c r="N126" i="1" s="1"/>
  <c r="N120" i="1"/>
  <c r="J81" i="5"/>
  <c r="K79" i="5"/>
  <c r="I31" i="5"/>
  <c r="J31" i="5" s="1"/>
  <c r="K31" i="5" s="1"/>
  <c r="L31" i="5" s="1"/>
  <c r="H31" i="5"/>
  <c r="I96" i="10"/>
  <c r="G152" i="5"/>
  <c r="H210" i="10"/>
  <c r="H175" i="10"/>
  <c r="O175" i="10" s="1"/>
  <c r="G125" i="5"/>
  <c r="M105" i="1"/>
  <c r="N103" i="1"/>
  <c r="I135" i="10"/>
  <c r="H99" i="5"/>
  <c r="I99" i="5"/>
  <c r="J99" i="5" s="1"/>
  <c r="K99" i="5" s="1"/>
  <c r="L99" i="5" s="1"/>
  <c r="P41" i="6"/>
  <c r="G103" i="5"/>
  <c r="I166" i="10"/>
  <c r="I187" i="10"/>
  <c r="H100" i="5"/>
  <c r="I100" i="5"/>
  <c r="J100" i="5" s="1"/>
  <c r="K100" i="5" s="1"/>
  <c r="L100" i="5" s="1"/>
  <c r="I205" i="10"/>
  <c r="N98" i="11"/>
  <c r="M100" i="11"/>
  <c r="N100" i="11" s="1"/>
  <c r="N101" i="11" s="1"/>
  <c r="H150" i="5"/>
  <c r="I150" i="5"/>
  <c r="J150" i="5" s="1"/>
  <c r="K150" i="5" s="1"/>
  <c r="L150" i="5" s="1"/>
  <c r="G149" i="5"/>
  <c r="H207" i="10"/>
  <c r="I33" i="10"/>
  <c r="I31" i="10"/>
  <c r="H111" i="11"/>
  <c r="I81" i="10"/>
  <c r="K84" i="5"/>
  <c r="I230" i="10"/>
  <c r="I173" i="10"/>
  <c r="H30" i="5"/>
  <c r="I30" i="5"/>
  <c r="M78" i="11"/>
  <c r="N78" i="11" s="1"/>
  <c r="N79" i="11" s="1"/>
  <c r="N77" i="11"/>
  <c r="G170" i="5"/>
  <c r="G178" i="5" s="1"/>
  <c r="H232" i="10"/>
  <c r="N95" i="11"/>
  <c r="M96" i="11"/>
  <c r="N96" i="11" s="1"/>
  <c r="N97" i="11" s="1"/>
  <c r="I173" i="5"/>
  <c r="J173" i="5" s="1"/>
  <c r="K173" i="5" s="1"/>
  <c r="L173" i="5" s="1"/>
  <c r="H173" i="5"/>
  <c r="J15" i="5"/>
  <c r="I26" i="5"/>
  <c r="I133" i="10"/>
  <c r="I131" i="10"/>
  <c r="M35" i="11"/>
  <c r="N14" i="11"/>
  <c r="I151" i="5"/>
  <c r="J151" i="5" s="1"/>
  <c r="K151" i="5" s="1"/>
  <c r="L151" i="5" s="1"/>
  <c r="H151" i="5"/>
  <c r="H140" i="10"/>
  <c r="G102" i="5"/>
  <c r="H168" i="5"/>
  <c r="I168" i="5"/>
  <c r="H123" i="5"/>
  <c r="I123" i="5"/>
  <c r="I36" i="10"/>
  <c r="M136" i="1"/>
  <c r="N135" i="1"/>
  <c r="M91" i="11"/>
  <c r="N91" i="11" s="1"/>
  <c r="N92" i="11" s="1"/>
  <c r="N88" i="11"/>
  <c r="H58" i="5"/>
  <c r="G64" i="5"/>
  <c r="H64" i="5" s="1"/>
  <c r="L111" i="11"/>
  <c r="K111" i="11"/>
  <c r="N74" i="1" l="1"/>
  <c r="N75" i="1" s="1"/>
  <c r="M259" i="10"/>
  <c r="J40" i="10"/>
  <c r="J43" i="10"/>
  <c r="H240" i="10"/>
  <c r="O232" i="10"/>
  <c r="I69" i="10"/>
  <c r="I70" i="10" s="1"/>
  <c r="O69" i="10"/>
  <c r="J42" i="10"/>
  <c r="O42" i="10"/>
  <c r="J207" i="10"/>
  <c r="O207" i="10"/>
  <c r="J210" i="10"/>
  <c r="O210" i="10"/>
  <c r="J139" i="10"/>
  <c r="O139" i="10"/>
  <c r="J209" i="10"/>
  <c r="O209" i="10"/>
  <c r="J140" i="10"/>
  <c r="O140" i="10"/>
  <c r="K139" i="1"/>
  <c r="L139" i="1"/>
  <c r="I139" i="1"/>
  <c r="N136" i="1"/>
  <c r="H137" i="1"/>
  <c r="H139" i="1" s="1"/>
  <c r="N114" i="1"/>
  <c r="N119" i="1" s="1"/>
  <c r="J69" i="10"/>
  <c r="H203" i="10"/>
  <c r="I203" i="10" s="1"/>
  <c r="I202" i="10" s="1"/>
  <c r="J189" i="10"/>
  <c r="J203" i="10" s="1"/>
  <c r="I83" i="10"/>
  <c r="J83" i="10"/>
  <c r="J88" i="10" s="1"/>
  <c r="I80" i="10"/>
  <c r="H223" i="10"/>
  <c r="I223" i="10" s="1"/>
  <c r="I222" i="10" s="1"/>
  <c r="I68" i="10"/>
  <c r="G90" i="5"/>
  <c r="H157" i="10"/>
  <c r="I157" i="10" s="1"/>
  <c r="I156" i="10" s="1"/>
  <c r="I140" i="10"/>
  <c r="I175" i="10"/>
  <c r="I42" i="10"/>
  <c r="I39" i="10"/>
  <c r="I207" i="10"/>
  <c r="I210" i="10"/>
  <c r="I232" i="10"/>
  <c r="I40" i="10"/>
  <c r="I139" i="10"/>
  <c r="H58" i="10"/>
  <c r="I58" i="10" s="1"/>
  <c r="I57" i="10" s="1"/>
  <c r="I189" i="10"/>
  <c r="I177" i="10"/>
  <c r="I209" i="10"/>
  <c r="I43" i="10"/>
  <c r="H128" i="5"/>
  <c r="P52" i="6"/>
  <c r="P53" i="6"/>
  <c r="G104" i="5"/>
  <c r="G111" i="5" s="1"/>
  <c r="H111" i="5" s="1"/>
  <c r="P42" i="6"/>
  <c r="I32" i="5"/>
  <c r="J32" i="5" s="1"/>
  <c r="K32" i="5" s="1"/>
  <c r="L32" i="5" s="1"/>
  <c r="G134" i="5"/>
  <c r="H134" i="5" s="1"/>
  <c r="H135" i="5" s="1"/>
  <c r="H35" i="5"/>
  <c r="H36" i="5"/>
  <c r="G50" i="5"/>
  <c r="H50" i="5" s="1"/>
  <c r="H51" i="5" s="1"/>
  <c r="H101" i="5"/>
  <c r="I101" i="5"/>
  <c r="J101" i="5" s="1"/>
  <c r="K101" i="5" s="1"/>
  <c r="L101" i="5" s="1"/>
  <c r="G162" i="5"/>
  <c r="H162" i="5" s="1"/>
  <c r="H161" i="5" s="1"/>
  <c r="H88" i="10"/>
  <c r="K136" i="5"/>
  <c r="J145" i="5"/>
  <c r="J88" i="5"/>
  <c r="K11" i="5"/>
  <c r="J118" i="5"/>
  <c r="J121" i="5" s="1"/>
  <c r="K77" i="5"/>
  <c r="L75" i="5"/>
  <c r="L77" i="5" s="1"/>
  <c r="K54" i="5"/>
  <c r="L52" i="5"/>
  <c r="L54" i="5" s="1"/>
  <c r="J168" i="5"/>
  <c r="I103" i="5"/>
  <c r="J103" i="5" s="1"/>
  <c r="K103" i="5" s="1"/>
  <c r="L103" i="5" s="1"/>
  <c r="H103" i="5"/>
  <c r="J97" i="5"/>
  <c r="I127" i="5"/>
  <c r="J127" i="5" s="1"/>
  <c r="K127" i="5" s="1"/>
  <c r="L127" i="5" s="1"/>
  <c r="H127" i="5"/>
  <c r="J166" i="5"/>
  <c r="K164" i="5"/>
  <c r="H178" i="5"/>
  <c r="M111" i="11"/>
  <c r="N111" i="11" s="1"/>
  <c r="N35" i="11"/>
  <c r="N36" i="11" s="1"/>
  <c r="L84" i="5"/>
  <c r="H25" i="5"/>
  <c r="H27" i="5"/>
  <c r="H102" i="5"/>
  <c r="I102" i="5"/>
  <c r="J102" i="5" s="1"/>
  <c r="K102" i="5" s="1"/>
  <c r="L102" i="5" s="1"/>
  <c r="I149" i="5"/>
  <c r="J149" i="5" s="1"/>
  <c r="K149" i="5" s="1"/>
  <c r="L149" i="5" s="1"/>
  <c r="H149" i="5"/>
  <c r="K81" i="5"/>
  <c r="L79" i="5"/>
  <c r="L81" i="5" s="1"/>
  <c r="H65" i="5"/>
  <c r="H63" i="5"/>
  <c r="J123" i="5"/>
  <c r="H125" i="5"/>
  <c r="I125" i="5"/>
  <c r="J125" i="5" s="1"/>
  <c r="K125" i="5" s="1"/>
  <c r="L125" i="5" s="1"/>
  <c r="J147" i="5"/>
  <c r="N116" i="1"/>
  <c r="M118" i="1"/>
  <c r="N118" i="1" s="1"/>
  <c r="J30" i="5"/>
  <c r="N105" i="1"/>
  <c r="N106" i="1" s="1"/>
  <c r="H152" i="5"/>
  <c r="I152" i="5"/>
  <c r="J152" i="5" s="1"/>
  <c r="K152" i="5" s="1"/>
  <c r="L152" i="5" s="1"/>
  <c r="K15" i="5"/>
  <c r="J26" i="5"/>
  <c r="I170" i="5"/>
  <c r="J170" i="5" s="1"/>
  <c r="K170" i="5" s="1"/>
  <c r="L170" i="5" s="1"/>
  <c r="H170" i="5"/>
  <c r="H33" i="5"/>
  <c r="I33" i="5"/>
  <c r="J33" i="5" s="1"/>
  <c r="K33" i="5" s="1"/>
  <c r="L33" i="5" s="1"/>
  <c r="M137" i="1" l="1"/>
  <c r="J223" i="10"/>
  <c r="J157" i="10"/>
  <c r="J58" i="10"/>
  <c r="I88" i="10"/>
  <c r="I87" i="10" s="1"/>
  <c r="O88" i="10"/>
  <c r="P85" i="6"/>
  <c r="H171" i="10"/>
  <c r="I171" i="10" s="1"/>
  <c r="I172" i="10" s="1"/>
  <c r="J167" i="10"/>
  <c r="I167" i="10"/>
  <c r="G91" i="5"/>
  <c r="G94" i="5" s="1"/>
  <c r="H94" i="5" s="1"/>
  <c r="H95" i="5" s="1"/>
  <c r="P40" i="6"/>
  <c r="H90" i="5"/>
  <c r="I90" i="5"/>
  <c r="J90" i="5" s="1"/>
  <c r="K90" i="5" s="1"/>
  <c r="L90" i="5" s="1"/>
  <c r="H246" i="10"/>
  <c r="O246" i="10" s="1"/>
  <c r="I243" i="10"/>
  <c r="I242" i="10"/>
  <c r="I104" i="5"/>
  <c r="J104" i="5" s="1"/>
  <c r="K104" i="5" s="1"/>
  <c r="L104" i="5" s="1"/>
  <c r="H104" i="5"/>
  <c r="H133" i="5"/>
  <c r="H49" i="5"/>
  <c r="I59" i="10"/>
  <c r="I204" i="10"/>
  <c r="H163" i="5"/>
  <c r="I158" i="10"/>
  <c r="L136" i="5"/>
  <c r="L145" i="5" s="1"/>
  <c r="K145" i="5"/>
  <c r="K88" i="5"/>
  <c r="K118" i="5"/>
  <c r="K121" i="5" s="1"/>
  <c r="L11" i="5"/>
  <c r="I224" i="10"/>
  <c r="L15" i="5"/>
  <c r="K26" i="5"/>
  <c r="K30" i="5"/>
  <c r="J50" i="5"/>
  <c r="J162" i="5"/>
  <c r="K147" i="5"/>
  <c r="K123" i="5"/>
  <c r="J134" i="5"/>
  <c r="H110" i="5"/>
  <c r="H112" i="5"/>
  <c r="H177" i="5"/>
  <c r="H179" i="5"/>
  <c r="I240" i="10"/>
  <c r="K168" i="5"/>
  <c r="J178" i="5"/>
  <c r="I178" i="5"/>
  <c r="I50" i="5"/>
  <c r="I162" i="5"/>
  <c r="I134" i="5"/>
  <c r="K97" i="5"/>
  <c r="K166" i="5"/>
  <c r="L164" i="5"/>
  <c r="L166" i="5" s="1"/>
  <c r="O251" i="10" l="1"/>
  <c r="M260" i="10"/>
  <c r="I89" i="10"/>
  <c r="I246" i="10"/>
  <c r="M139" i="1"/>
  <c r="N137" i="1"/>
  <c r="J168" i="10"/>
  <c r="J171" i="10" s="1"/>
  <c r="J250" i="10" s="1"/>
  <c r="J252" i="10" s="1"/>
  <c r="J256" i="10" s="1"/>
  <c r="I168" i="10"/>
  <c r="I170" i="10"/>
  <c r="H93" i="5"/>
  <c r="G188" i="5"/>
  <c r="G190" i="5" s="1"/>
  <c r="H190" i="5" s="1"/>
  <c r="H91" i="5"/>
  <c r="I91" i="5"/>
  <c r="J91" i="5" s="1"/>
  <c r="K91" i="5" s="1"/>
  <c r="L91" i="5" s="1"/>
  <c r="I179" i="10"/>
  <c r="H185" i="10"/>
  <c r="I245" i="10"/>
  <c r="I247" i="10"/>
  <c r="J111" i="5"/>
  <c r="I111" i="5"/>
  <c r="L118" i="5"/>
  <c r="L121" i="5" s="1"/>
  <c r="L88" i="5"/>
  <c r="L26" i="5"/>
  <c r="K162" i="5"/>
  <c r="L147" i="5"/>
  <c r="L162" i="5" s="1"/>
  <c r="L97" i="5"/>
  <c r="L111" i="5" s="1"/>
  <c r="K111" i="5"/>
  <c r="L168" i="5"/>
  <c r="L178" i="5" s="1"/>
  <c r="K178" i="5"/>
  <c r="I239" i="10"/>
  <c r="I241" i="10"/>
  <c r="L123" i="5"/>
  <c r="L134" i="5" s="1"/>
  <c r="K134" i="5"/>
  <c r="K50" i="5"/>
  <c r="L30" i="5"/>
  <c r="L50" i="5" s="1"/>
  <c r="I185" i="10" l="1"/>
  <c r="I184" i="10" s="1"/>
  <c r="O185" i="10"/>
  <c r="O250" i="10" s="1"/>
  <c r="O252" i="10" s="1"/>
  <c r="H250" i="10"/>
  <c r="H188" i="5"/>
  <c r="H187" i="5" s="1"/>
  <c r="J94" i="5"/>
  <c r="J188" i="5" s="1"/>
  <c r="J190" i="5" s="1"/>
  <c r="K94" i="5"/>
  <c r="K188" i="5" s="1"/>
  <c r="K190" i="5" s="1"/>
  <c r="I94" i="5"/>
  <c r="I188" i="5" s="1"/>
  <c r="I190" i="5" s="1"/>
  <c r="L94" i="5"/>
  <c r="L188" i="5" s="1"/>
  <c r="L190" i="5" s="1"/>
  <c r="Q257" i="10" l="1"/>
  <c r="Q251" i="10"/>
  <c r="I186" i="10"/>
  <c r="H252" i="10"/>
  <c r="H189" i="5"/>
  <c r="I250" i="10"/>
  <c r="I251" i="10" s="1"/>
  <c r="D252" i="10" l="1"/>
  <c r="Q256" i="10"/>
  <c r="H256" i="10"/>
  <c r="I249" i="10"/>
</calcChain>
</file>

<file path=xl/sharedStrings.xml><?xml version="1.0" encoding="utf-8"?>
<sst xmlns="http://schemas.openxmlformats.org/spreadsheetml/2006/main" count="1758" uniqueCount="522">
  <si>
    <t xml:space="preserve">10040005100120                               </t>
  </si>
  <si>
    <t xml:space="preserve">Classroom Teachers                                </t>
  </si>
  <si>
    <t xml:space="preserve">10040005100150                               </t>
  </si>
  <si>
    <t xml:space="preserve">Classroom Aides                                   </t>
  </si>
  <si>
    <t xml:space="preserve">10040005200120                               </t>
  </si>
  <si>
    <t xml:space="preserve">ESE Teacher                                       </t>
  </si>
  <si>
    <t xml:space="preserve">10040006100130                               </t>
  </si>
  <si>
    <t xml:space="preserve">Guidance                                          </t>
  </si>
  <si>
    <t xml:space="preserve">10040007300110                               </t>
  </si>
  <si>
    <t xml:space="preserve">Administrator                                     </t>
  </si>
  <si>
    <t xml:space="preserve">10040007300160                               </t>
  </si>
  <si>
    <t xml:space="preserve">Administrative Assistants                         </t>
  </si>
  <si>
    <t xml:space="preserve">10040007900160                               </t>
  </si>
  <si>
    <t xml:space="preserve">Custodians                                        </t>
  </si>
  <si>
    <t xml:space="preserve">41040007600160                               </t>
  </si>
  <si>
    <t xml:space="preserve">Food Service Clerk                                </t>
  </si>
  <si>
    <t>ALL FUNDS</t>
  </si>
  <si>
    <t>After Care Director</t>
  </si>
  <si>
    <t>Security Guard</t>
  </si>
  <si>
    <t>100-4000-5100-120</t>
  </si>
  <si>
    <t>100-4000-7300-160</t>
  </si>
  <si>
    <t>891-4000-9100-150</t>
  </si>
  <si>
    <t>100-4000-6100-130</t>
  </si>
  <si>
    <t>100-4000-5100-150</t>
  </si>
  <si>
    <t>100-4000-5200-120</t>
  </si>
  <si>
    <t>100-4000-7900-160</t>
  </si>
  <si>
    <t>100-4000-7300-110</t>
  </si>
  <si>
    <t>410-4000-7600-160</t>
  </si>
  <si>
    <t>100-4000-7900-165</t>
  </si>
  <si>
    <t>Workers Comp</t>
  </si>
  <si>
    <t>Retirement</t>
  </si>
  <si>
    <t>Instruction</t>
  </si>
  <si>
    <t>Social Security</t>
  </si>
  <si>
    <t>Administrative</t>
  </si>
  <si>
    <t>#</t>
  </si>
  <si>
    <t>Account Code</t>
  </si>
  <si>
    <t>Name</t>
  </si>
  <si>
    <t>Budgeted Salary</t>
  </si>
  <si>
    <t>Retirement     Y/N</t>
  </si>
  <si>
    <t>Unemply Comp</t>
  </si>
  <si>
    <t>Total cost</t>
  </si>
  <si>
    <t>Revenues</t>
  </si>
  <si>
    <t>Total Revenues</t>
  </si>
  <si>
    <t>Expenditures</t>
  </si>
  <si>
    <t>Total Instruction</t>
  </si>
  <si>
    <t>Total Exceptional Instruction</t>
  </si>
  <si>
    <t>Total Pupil Personnel Services</t>
  </si>
  <si>
    <t>Total Instruction Media Sources</t>
  </si>
  <si>
    <t xml:space="preserve">Total Instruction and Curriculum Development </t>
  </si>
  <si>
    <t>Total Instructional Staff Training Services</t>
  </si>
  <si>
    <t>Total School Administration</t>
  </si>
  <si>
    <t>Total Fiscal Services</t>
  </si>
  <si>
    <t>Total Food Services</t>
  </si>
  <si>
    <t>Total Pupil Transportation Services</t>
  </si>
  <si>
    <t>Total Operation of Plant</t>
  </si>
  <si>
    <t>Total Maintenance of Plant</t>
  </si>
  <si>
    <t>Total Expenditures</t>
  </si>
  <si>
    <t>BY FUNCTION &amp; OBJECT</t>
  </si>
  <si>
    <t>Account Number</t>
  </si>
  <si>
    <t>Description</t>
  </si>
  <si>
    <t>Fund:  100  General Operating Fund</t>
  </si>
  <si>
    <t>Total Board</t>
  </si>
  <si>
    <t>Total Facilities Acquisition</t>
  </si>
  <si>
    <t>Excess of Revenues Over Expenditures</t>
  </si>
  <si>
    <t>Federal Charter School Grant</t>
  </si>
  <si>
    <t>FOR THE PERIOD JULY 1, 2006 THROUGH JUNE 30, 2007</t>
  </si>
  <si>
    <t>Assumptions</t>
  </si>
  <si>
    <t xml:space="preserve">Other Misc Revenue                                </t>
  </si>
  <si>
    <t xml:space="preserve">Uniform Sales                                     </t>
  </si>
  <si>
    <t xml:space="preserve">Locker Rents                                      </t>
  </si>
  <si>
    <t xml:space="preserve">Donations                                         </t>
  </si>
  <si>
    <t xml:space="preserve">School Lunch Revenue                              </t>
  </si>
  <si>
    <t xml:space="preserve">School Internal Funds                             </t>
  </si>
  <si>
    <t xml:space="preserve">Retirement                                        </t>
  </si>
  <si>
    <t xml:space="preserve">Social Security                                   </t>
  </si>
  <si>
    <t xml:space="preserve">Group Insurance                                   </t>
  </si>
  <si>
    <t xml:space="preserve">Workers Compensation                              </t>
  </si>
  <si>
    <t xml:space="preserve">Unemployment Compensation                         </t>
  </si>
  <si>
    <t xml:space="preserve">School Uniforms                                   </t>
  </si>
  <si>
    <t xml:space="preserve">Instructional Contracted Services                 </t>
  </si>
  <si>
    <t xml:space="preserve">Field Trips                                       </t>
  </si>
  <si>
    <t xml:space="preserve">Technology Support &amp; Service                      </t>
  </si>
  <si>
    <t>Equipment - Copier Lease</t>
  </si>
  <si>
    <t>Equipment - Relational Lease</t>
  </si>
  <si>
    <t xml:space="preserve">Copy and Printing                                 </t>
  </si>
  <si>
    <t xml:space="preserve">Textbooks                                         </t>
  </si>
  <si>
    <t xml:space="preserve">Furniture and Equipment                           </t>
  </si>
  <si>
    <t xml:space="preserve">Non Capital Furniture and Equipment               </t>
  </si>
  <si>
    <t xml:space="preserve">Substitute Teachers                               </t>
  </si>
  <si>
    <t xml:space="preserve">Contracted Services                               </t>
  </si>
  <si>
    <t xml:space="preserve">Office Expense                                    </t>
  </si>
  <si>
    <t xml:space="preserve">Media Specialist                                  </t>
  </si>
  <si>
    <t xml:space="preserve">Other Books and Materials                         </t>
  </si>
  <si>
    <t xml:space="preserve">Testing and Assessment                            </t>
  </si>
  <si>
    <t xml:space="preserve">Staff Development                                 </t>
  </si>
  <si>
    <t xml:space="preserve">Legal and Audit Expense                           </t>
  </si>
  <si>
    <t xml:space="preserve">Contracted Consultants                            </t>
  </si>
  <si>
    <t xml:space="preserve">Insurance                                         </t>
  </si>
  <si>
    <t xml:space="preserve">Travel / Conferences / Workshops                  </t>
  </si>
  <si>
    <t xml:space="preserve">Advertising                                       </t>
  </si>
  <si>
    <t xml:space="preserve">Dues and Fees                                     </t>
  </si>
  <si>
    <t xml:space="preserve">District Admin Fees                               </t>
  </si>
  <si>
    <t xml:space="preserve">Miscellaneous Expenses                            </t>
  </si>
  <si>
    <t xml:space="preserve">Bank Charges                                      </t>
  </si>
  <si>
    <t xml:space="preserve">Insurance - General Liability                     </t>
  </si>
  <si>
    <t xml:space="preserve">Repairs and Maintenance                           </t>
  </si>
  <si>
    <t xml:space="preserve">Equipment Lease                                   </t>
  </si>
  <si>
    <t xml:space="preserve">Postage                                           </t>
  </si>
  <si>
    <t xml:space="preserve">Facility Lease                                    </t>
  </si>
  <si>
    <t xml:space="preserve">Facility Cost                                     </t>
  </si>
  <si>
    <t xml:space="preserve">Payroll Service                                   </t>
  </si>
  <si>
    <t xml:space="preserve">Transportation-Contracted Services                </t>
  </si>
  <si>
    <t xml:space="preserve">Transportation - Other                            </t>
  </si>
  <si>
    <t xml:space="preserve">Insurance - Building                              </t>
  </si>
  <si>
    <t xml:space="preserve">Contract Custodial Service                        </t>
  </si>
  <si>
    <t xml:space="preserve">Communications                                    </t>
  </si>
  <si>
    <t xml:space="preserve">Water, Sewer, Garbage Collection                  </t>
  </si>
  <si>
    <t xml:space="preserve">Other Contracted Bldg. Services                   </t>
  </si>
  <si>
    <t xml:space="preserve">Electricity                                       </t>
  </si>
  <si>
    <t xml:space="preserve">Custodial Supplies                                </t>
  </si>
  <si>
    <t xml:space="preserve">Workers Compensation                            </t>
  </si>
  <si>
    <t xml:space="preserve">Contracted Food Service                           </t>
  </si>
  <si>
    <t xml:space="preserve">Food Service Supplies                             </t>
  </si>
  <si>
    <t xml:space="preserve">Food                                              </t>
  </si>
  <si>
    <t xml:space="preserve">Other Materials and Supplies                      </t>
  </si>
  <si>
    <t xml:space="preserve">Instruction Materials                             </t>
  </si>
  <si>
    <t xml:space="preserve">Furniture &amp; Equipment                             </t>
  </si>
  <si>
    <t xml:space="preserve">Indirect Cost                                     </t>
  </si>
  <si>
    <t xml:space="preserve">Workers Compensation </t>
  </si>
  <si>
    <t xml:space="preserve">Misc Expenses                                     </t>
  </si>
  <si>
    <t>After Care Supplies</t>
  </si>
  <si>
    <t>Food Service Staff</t>
  </si>
  <si>
    <t>Grand Total Revenues</t>
  </si>
  <si>
    <t>Internal Funds Total</t>
  </si>
  <si>
    <t>Transportation Total</t>
  </si>
  <si>
    <t>Contracted Services Total</t>
  </si>
  <si>
    <t>Insurance Total</t>
  </si>
  <si>
    <t>Instructional Costs Total</t>
  </si>
  <si>
    <t>Administrative Costs Total</t>
  </si>
  <si>
    <t>Grand Total Expenses</t>
  </si>
  <si>
    <t>Group Ins       Y/N</t>
  </si>
  <si>
    <t xml:space="preserve">FEFP Restricted Capital Outlay                    </t>
  </si>
  <si>
    <t xml:space="preserve">Transportation Revenue                            </t>
  </si>
  <si>
    <t xml:space="preserve">Florida Teacher's Lead Program                    </t>
  </si>
  <si>
    <t xml:space="preserve">Interest - Capital Outlay                         </t>
  </si>
  <si>
    <t>Instructional Salaries and Costs</t>
  </si>
  <si>
    <t>Instructional Support Salaries and Costs</t>
  </si>
  <si>
    <t>Administrative Salaries and Costs</t>
  </si>
  <si>
    <t>Contracted Services</t>
  </si>
  <si>
    <t>Insurance</t>
  </si>
  <si>
    <t>Occupancy Other Than Rents</t>
  </si>
  <si>
    <t>Capital Outlay</t>
  </si>
  <si>
    <t>District Admin Fees</t>
  </si>
  <si>
    <t>Instructional Costs</t>
  </si>
  <si>
    <t>Administrative Costs</t>
  </si>
  <si>
    <t>Food Services</t>
  </si>
  <si>
    <t>Transportation</t>
  </si>
  <si>
    <t>Internal Funds</t>
  </si>
  <si>
    <t xml:space="preserve"> </t>
  </si>
  <si>
    <t>Administrative Salaries and Costs Total</t>
  </si>
  <si>
    <t>Instructional Salaries and Costs Total</t>
  </si>
  <si>
    <t>Instructional Support Salaries and Costs Total</t>
  </si>
  <si>
    <t>Occupancy Other Than Rents Total</t>
  </si>
  <si>
    <t>District Admin Fees Total</t>
  </si>
  <si>
    <t>Capital Outlay Total</t>
  </si>
  <si>
    <t>Food Services Total</t>
  </si>
  <si>
    <t>Facility Lease Total</t>
  </si>
  <si>
    <t>Excess Revenues Over Expenses</t>
  </si>
  <si>
    <t>SUMMARY BUDGET</t>
  </si>
  <si>
    <t>CHAUTAUQUA LEARN &amp; SERVE CHARTER SCHOOL</t>
  </si>
  <si>
    <t xml:space="preserve">FEFP - Bay Cty Sch Dist                          </t>
  </si>
  <si>
    <t>n</t>
  </si>
  <si>
    <t xml:space="preserve">Interest Income                                   </t>
  </si>
  <si>
    <t>y</t>
  </si>
  <si>
    <t xml:space="preserve">Instructional Materials                           </t>
  </si>
  <si>
    <t xml:space="preserve">Contract Controller Service                       </t>
  </si>
  <si>
    <t>MIAMI COMMUNITY CHARTER SCHOOL</t>
  </si>
  <si>
    <t>Custodial</t>
  </si>
  <si>
    <t>Security</t>
  </si>
  <si>
    <t>Food Service</t>
  </si>
  <si>
    <t>Aftercare</t>
  </si>
  <si>
    <t>Brown, Maria</t>
  </si>
  <si>
    <t>Michel, Nadyne</t>
  </si>
  <si>
    <t>100-4000-5100-750</t>
  </si>
  <si>
    <t xml:space="preserve">Substitute Teachers                      </t>
  </si>
  <si>
    <t>Medina, Gladys</t>
  </si>
  <si>
    <t>After Care</t>
  </si>
  <si>
    <t>Ruiz, Lijedahl</t>
  </si>
  <si>
    <t>Velez, Gabriel</t>
  </si>
  <si>
    <t>*</t>
  </si>
  <si>
    <t>Custodians</t>
  </si>
  <si>
    <t>Food Service Clerk</t>
  </si>
  <si>
    <t>Total Aftercare</t>
  </si>
  <si>
    <t>Aftercare Worker</t>
  </si>
  <si>
    <t>Administrators</t>
  </si>
  <si>
    <t>2007-08</t>
  </si>
  <si>
    <t>2008-09</t>
  </si>
  <si>
    <t>2009-10</t>
  </si>
  <si>
    <t>2010-11</t>
  </si>
  <si>
    <t>2011-12</t>
  </si>
  <si>
    <t>Principal</t>
  </si>
  <si>
    <t>Interest</t>
  </si>
  <si>
    <t>Total Debt Service</t>
  </si>
  <si>
    <t>FISCAL YEARS 2007-08 THROUGH 2011-12</t>
  </si>
  <si>
    <t>BUDGETS</t>
  </si>
  <si>
    <t>2008-2009</t>
  </si>
  <si>
    <t xml:space="preserve">Yearbook                                          </t>
  </si>
  <si>
    <t xml:space="preserve">Software                                          </t>
  </si>
  <si>
    <t xml:space="preserve">Contract Services                                 </t>
  </si>
  <si>
    <t xml:space="preserve">Debt Service - Interest                           </t>
  </si>
  <si>
    <t xml:space="preserve">Charter School Capital Outlay                     </t>
  </si>
  <si>
    <t>Gibbs, Debra</t>
  </si>
  <si>
    <t>Williams, Carolyn</t>
  </si>
  <si>
    <t xml:space="preserve">n </t>
  </si>
  <si>
    <t xml:space="preserve">  </t>
  </si>
  <si>
    <t>Payroll Budget 2009-2010 Input Schedule</t>
  </si>
  <si>
    <t>2009-2010</t>
  </si>
  <si>
    <t>Projected</t>
  </si>
  <si>
    <t>08-09</t>
  </si>
  <si>
    <t>Aguirre, Rosa</t>
  </si>
  <si>
    <t>10040005100750</t>
  </si>
  <si>
    <t>Alvarez, Sonia</t>
  </si>
  <si>
    <t>Bunn, Debra</t>
  </si>
  <si>
    <t>Burns, Jamie</t>
  </si>
  <si>
    <t>100-4000-6200-130</t>
  </si>
  <si>
    <t>10040006200130</t>
  </si>
  <si>
    <t>Buttermore, Sarah</t>
  </si>
  <si>
    <t>Densel, Terra</t>
  </si>
  <si>
    <t>Media</t>
  </si>
  <si>
    <t>Donzanti, Jamie</t>
  </si>
  <si>
    <t>Gomez, Maria</t>
  </si>
  <si>
    <t>Johnson, Frederica</t>
  </si>
  <si>
    <t>Jordan, Celesteen</t>
  </si>
  <si>
    <t>Leon, Luis</t>
  </si>
  <si>
    <t>Polo, Elizabeth</t>
  </si>
  <si>
    <t>Rivera, Jose</t>
  </si>
  <si>
    <t>Sera Sirven, Jacqueline</t>
  </si>
  <si>
    <t>100-4000-6130-130</t>
  </si>
  <si>
    <t>10040006130130</t>
  </si>
  <si>
    <t>Health</t>
  </si>
  <si>
    <t>Velez, Janet</t>
  </si>
  <si>
    <t>Acosta, Haydee</t>
  </si>
  <si>
    <t>Budget</t>
  </si>
  <si>
    <t>BUDGET</t>
  </si>
  <si>
    <t xml:space="preserve">FEFP - Pinellas Cty Sch Dist                      </t>
  </si>
  <si>
    <t xml:space="preserve">Title I Revenue                                   </t>
  </si>
  <si>
    <t xml:space="preserve">Sales Revenue                                     </t>
  </si>
  <si>
    <t xml:space="preserve">Fundraising                                       </t>
  </si>
  <si>
    <t xml:space="preserve">Before Care &amp; Aftercare                           </t>
  </si>
  <si>
    <t xml:space="preserve">Recovery of Prior Year Expense                    </t>
  </si>
  <si>
    <t xml:space="preserve">Workmen's Compensation                            </t>
  </si>
  <si>
    <t xml:space="preserve">Bus Driver                                        </t>
  </si>
  <si>
    <t xml:space="preserve">Custodian/Security Guard                          </t>
  </si>
  <si>
    <t xml:space="preserve">Before &amp; Aftercare Aides                          </t>
  </si>
  <si>
    <t xml:space="preserve">Transportation - Fuel                             </t>
  </si>
  <si>
    <t xml:space="preserve">Computer Hardware                                 </t>
  </si>
  <si>
    <t xml:space="preserve">Supplies                                          </t>
  </si>
  <si>
    <t xml:space="preserve">Debt Service - Principal                          </t>
  </si>
  <si>
    <t xml:space="preserve">Petty Cash                                        </t>
  </si>
  <si>
    <t xml:space="preserve">Revenue Receivable - FEFP                         </t>
  </si>
  <si>
    <t xml:space="preserve">Revenue Receivable - CSCO                         </t>
  </si>
  <si>
    <t xml:space="preserve">Due From Other Funds                              </t>
  </si>
  <si>
    <t xml:space="preserve">Prepaid Expenses                                  </t>
  </si>
  <si>
    <t xml:space="preserve">Accrued Salaries and Benefits                     </t>
  </si>
  <si>
    <t xml:space="preserve">Accrued Payables                                  </t>
  </si>
  <si>
    <t xml:space="preserve">Deferred Revenue                                  </t>
  </si>
  <si>
    <t xml:space="preserve">Due To Other Funds                                </t>
  </si>
  <si>
    <t>100-4000-7800-160</t>
  </si>
  <si>
    <t>10040007800160</t>
  </si>
  <si>
    <t>Bus Drivers</t>
  </si>
  <si>
    <t>Revenue Input</t>
  </si>
  <si>
    <t>Payroll Input</t>
  </si>
  <si>
    <t>Expense Input</t>
  </si>
  <si>
    <t>Beginning Fund Balance</t>
  </si>
  <si>
    <t>Ending Fund Balance</t>
  </si>
  <si>
    <t>PY + Enroll Change</t>
  </si>
  <si>
    <t>PY</t>
  </si>
  <si>
    <t>PY + Enroll Change + Inf</t>
  </si>
  <si>
    <t>PY + Inf</t>
  </si>
  <si>
    <t>Total Instruction Related Technology</t>
  </si>
  <si>
    <t>Total Board Administration</t>
  </si>
  <si>
    <t>Salary</t>
  </si>
  <si>
    <t>Per Lease</t>
  </si>
  <si>
    <t>ESE Teachers</t>
  </si>
  <si>
    <t>100-4000-5200-150</t>
  </si>
  <si>
    <t>10040005200150</t>
  </si>
  <si>
    <t>10040005200120</t>
  </si>
  <si>
    <t>Easter Seals</t>
  </si>
  <si>
    <t>IDEA</t>
  </si>
  <si>
    <t>New Freedom Transportation Grant</t>
  </si>
  <si>
    <t>FEFP - Bay Cty Sch Dist</t>
  </si>
  <si>
    <t>Florida Teacher's Lead Program</t>
  </si>
  <si>
    <t>Interest Income</t>
  </si>
  <si>
    <t>The Arc of Florida Inc.</t>
  </si>
  <si>
    <t>Other Misc Revenue</t>
  </si>
  <si>
    <t>Arc of Walton Shared Expenses</t>
  </si>
  <si>
    <t>Field Trips</t>
  </si>
  <si>
    <t>Donations</t>
  </si>
  <si>
    <t>BEST Neighborhoods Grant Revenue</t>
  </si>
  <si>
    <t>BEST Neighborhoods Grant Cont. Services</t>
  </si>
  <si>
    <t>Travel/Conference/Workshops</t>
  </si>
  <si>
    <t>Copy and Printing</t>
  </si>
  <si>
    <t>Instructional Materials</t>
  </si>
  <si>
    <t>Textbooks</t>
  </si>
  <si>
    <t>ESE Substitute Teacher</t>
  </si>
  <si>
    <t>Staff Development</t>
  </si>
  <si>
    <t>Technology Support &amp; Service</t>
  </si>
  <si>
    <t>Legal and Audit Expense</t>
  </si>
  <si>
    <t>Insurance - General Liability</t>
  </si>
  <si>
    <t>Dues and Fees</t>
  </si>
  <si>
    <t>Bank Charges</t>
  </si>
  <si>
    <t>Travel / Conferences / Workshops</t>
  </si>
  <si>
    <t>Postage</t>
  </si>
  <si>
    <t>Advertising</t>
  </si>
  <si>
    <t>Office Expense</t>
  </si>
  <si>
    <t>Facility Lease</t>
  </si>
  <si>
    <t>Contract Controller Service</t>
  </si>
  <si>
    <t>Payroll Service</t>
  </si>
  <si>
    <t>Transportation - Contracted Services</t>
  </si>
  <si>
    <t>BEST Neighborhoods Grant Con. Services</t>
  </si>
  <si>
    <t>Transportation - Repair</t>
  </si>
  <si>
    <t>Insurance - Building</t>
  </si>
  <si>
    <t>Storage Rental</t>
  </si>
  <si>
    <t>Communications</t>
  </si>
  <si>
    <t>Water/ Sewer/ Garbage Collection</t>
  </si>
  <si>
    <t>Other Contracted Bldg. Services</t>
  </si>
  <si>
    <t>Electricity</t>
  </si>
  <si>
    <t>Custodial Supplies</t>
  </si>
  <si>
    <t>Repairs and Maintenance</t>
  </si>
  <si>
    <t>Ret</t>
  </si>
  <si>
    <t>SS</t>
  </si>
  <si>
    <t>Ins</t>
  </si>
  <si>
    <t>WC</t>
  </si>
  <si>
    <t>SUTA</t>
  </si>
  <si>
    <t>Ttl</t>
  </si>
  <si>
    <t>Class Size Reduction</t>
  </si>
  <si>
    <t>Summer camp</t>
  </si>
  <si>
    <t>Capital Furniture &amp; Equipment</t>
  </si>
  <si>
    <t>Non Capital Furniture &amp; Equipment</t>
  </si>
  <si>
    <t>Software</t>
  </si>
  <si>
    <t>Testing and Assessment</t>
  </si>
  <si>
    <t>Facility Cost</t>
  </si>
  <si>
    <t>Transportation - Insurance</t>
  </si>
  <si>
    <t>Furniture and Equipment</t>
  </si>
  <si>
    <t>Actual</t>
  </si>
  <si>
    <t>Total</t>
  </si>
  <si>
    <t>Period 1</t>
  </si>
  <si>
    <t>Period 2</t>
  </si>
  <si>
    <t>Period 3</t>
  </si>
  <si>
    <t>Period 4</t>
  </si>
  <si>
    <t>Period 5</t>
  </si>
  <si>
    <t>Period 6</t>
  </si>
  <si>
    <t>Period 7</t>
  </si>
  <si>
    <t>Period 8</t>
  </si>
  <si>
    <t>Period 9</t>
  </si>
  <si>
    <t>Period 10</t>
  </si>
  <si>
    <t>Period 11</t>
  </si>
  <si>
    <t>Period 12</t>
  </si>
  <si>
    <t>ESE Teacher</t>
  </si>
  <si>
    <t>Trolley Instructor</t>
  </si>
  <si>
    <t>Classroom Aide</t>
  </si>
  <si>
    <t>Group Insurance</t>
  </si>
  <si>
    <t>Workers Compensation</t>
  </si>
  <si>
    <t>Unemployment Compensation</t>
  </si>
  <si>
    <t>Guidance</t>
  </si>
  <si>
    <t>Job Coach</t>
  </si>
  <si>
    <t>Administrator</t>
  </si>
  <si>
    <t>Office Support</t>
  </si>
  <si>
    <t>BEST Neighborhoods Grant Office Support</t>
  </si>
  <si>
    <t>BEST Neighborhoods Grant Retirement</t>
  </si>
  <si>
    <t>BEST Neighborhoods Grant Social Security</t>
  </si>
  <si>
    <t>BEST Neighborhoods Grant Travel</t>
  </si>
  <si>
    <t>BEST Neighborhoods Grant Materials</t>
  </si>
  <si>
    <t>Transportation - Other Vehicles</t>
  </si>
  <si>
    <t>sals</t>
  </si>
  <si>
    <t>retire</t>
  </si>
  <si>
    <t>ss</t>
  </si>
  <si>
    <t>ins</t>
  </si>
  <si>
    <t>wc</t>
  </si>
  <si>
    <t>uc</t>
  </si>
  <si>
    <t>ttl</t>
  </si>
  <si>
    <t>Chautauqua Charter School</t>
  </si>
  <si>
    <t xml:space="preserve">Payroll By Employee </t>
  </si>
  <si>
    <t>Pay Date</t>
  </si>
  <si>
    <t>Gross</t>
  </si>
  <si>
    <t>Anastasio, Nancy</t>
  </si>
  <si>
    <t>Beidelman, Ryan</t>
  </si>
  <si>
    <t>Clark, Elizabeth</t>
  </si>
  <si>
    <t>Fowler, Misty</t>
  </si>
  <si>
    <t>Franklin, Rhonda</t>
  </si>
  <si>
    <t>Grabner, Lucie</t>
  </si>
  <si>
    <t>Hay, Heather</t>
  </si>
  <si>
    <t>Little, Gail</t>
  </si>
  <si>
    <t>McQuagge, Aroura</t>
  </si>
  <si>
    <t>Nutt, Mary</t>
  </si>
  <si>
    <t>Parish, Beth</t>
  </si>
  <si>
    <t>Ramsey, Donnie</t>
  </si>
  <si>
    <t>Remick, Douglas</t>
  </si>
  <si>
    <t>Rivard, Kay</t>
  </si>
  <si>
    <t>Steele, Barbara</t>
  </si>
  <si>
    <t>Warren, Mona</t>
  </si>
  <si>
    <t>Woznick, Michael</t>
  </si>
  <si>
    <t>100-4000-5200-750</t>
  </si>
  <si>
    <t>Harrington, Marion</t>
  </si>
  <si>
    <t>Payelle, Mary</t>
  </si>
  <si>
    <t>Zebroski, Mary</t>
  </si>
  <si>
    <t>McCauley, Cynthia</t>
  </si>
  <si>
    <t>Trolly Instructor</t>
  </si>
  <si>
    <t>100-4000-5100-121</t>
  </si>
  <si>
    <t>10040005100121</t>
  </si>
  <si>
    <t>PR</t>
  </si>
  <si>
    <t>Exp</t>
  </si>
  <si>
    <t>TTL</t>
  </si>
  <si>
    <t>Raises per Betty</t>
  </si>
  <si>
    <t>2014-15</t>
  </si>
  <si>
    <t>FISCAL YEAR 2015-16</t>
  </si>
  <si>
    <t>2015-16</t>
  </si>
  <si>
    <t>Adults with Disabilities</t>
  </si>
  <si>
    <t>AWD Contracted Services</t>
  </si>
  <si>
    <t>AWD Travel/Conferences/Workshop</t>
  </si>
  <si>
    <t>AWD Health Services</t>
  </si>
  <si>
    <t>AWD Transportation Contracted Services</t>
  </si>
  <si>
    <t>GRABNER, LUCIE C</t>
  </si>
  <si>
    <t>MCCAULEY, CYNTHIA</t>
  </si>
  <si>
    <t>FRANKLIN, RHONDA G</t>
  </si>
  <si>
    <t>BOSTON, CARISSA</t>
  </si>
  <si>
    <t>FOWLER, MISTY D</t>
  </si>
  <si>
    <t>HAY, HEATHER N</t>
  </si>
  <si>
    <t>NUTT, MARY N</t>
  </si>
  <si>
    <t>STEELE, BARBARA W</t>
  </si>
  <si>
    <t>WARREN, MONA D</t>
  </si>
  <si>
    <t>WILBERT, SPENCER</t>
  </si>
  <si>
    <t>BEIDELMAN, RYAN L</t>
  </si>
  <si>
    <t>PARRISH, BETH A</t>
  </si>
  <si>
    <t>RAMSEY, DONNIE E</t>
  </si>
  <si>
    <t>REMICK, DOUGLAS E</t>
  </si>
  <si>
    <t>HARRINGTON, MARION L</t>
  </si>
  <si>
    <t>AWD ESE Teacher</t>
  </si>
  <si>
    <t>AWD Classroom Aide</t>
  </si>
  <si>
    <t>AWD Retirement</t>
  </si>
  <si>
    <t>AWD Social Security</t>
  </si>
  <si>
    <t>NA</t>
  </si>
  <si>
    <t>5% of FEFP @ UWFTE</t>
  </si>
  <si>
    <t>Per Contract</t>
  </si>
  <si>
    <t>Per Revenue Worksheet</t>
  </si>
  <si>
    <t>Actuals</t>
  </si>
  <si>
    <t>MARION</t>
  </si>
  <si>
    <t>HARRINGTON</t>
  </si>
  <si>
    <t>CLERK/OFFICE</t>
  </si>
  <si>
    <t>DOUGLAS</t>
  </si>
  <si>
    <t>REMICK</t>
  </si>
  <si>
    <t>DONNIE</t>
  </si>
  <si>
    <t>RAMSEY</t>
  </si>
  <si>
    <t>BETH</t>
  </si>
  <si>
    <t>PARRISH</t>
  </si>
  <si>
    <t>RYAN</t>
  </si>
  <si>
    <t>BEIDELMAN</t>
  </si>
  <si>
    <t>STEPHEN</t>
  </si>
  <si>
    <t>WINDISCH</t>
  </si>
  <si>
    <t>ESE Sub</t>
  </si>
  <si>
    <t>MONA</t>
  </si>
  <si>
    <t>WARREN</t>
  </si>
  <si>
    <t>Teachers Aides</t>
  </si>
  <si>
    <t>BARBARA</t>
  </si>
  <si>
    <t>STEELE</t>
  </si>
  <si>
    <t>MARY</t>
  </si>
  <si>
    <t>NUTT</t>
  </si>
  <si>
    <t>HEATHER</t>
  </si>
  <si>
    <t>HAY</t>
  </si>
  <si>
    <t>MISTY</t>
  </si>
  <si>
    <t>FOWLER</t>
  </si>
  <si>
    <t>CARISSA</t>
  </si>
  <si>
    <t>BOSTON</t>
  </si>
  <si>
    <t>RHONDA</t>
  </si>
  <si>
    <t>FRANKLIN</t>
  </si>
  <si>
    <t>Trolley Trainer</t>
  </si>
  <si>
    <t>CYNTHIA</t>
  </si>
  <si>
    <t>MCCAULEY</t>
  </si>
  <si>
    <t>LUCIE</t>
  </si>
  <si>
    <t>GRABNER</t>
  </si>
  <si>
    <t>Avg Hours</t>
  </si>
  <si>
    <t>Avg Pay</t>
  </si>
  <si>
    <t>Hours</t>
  </si>
  <si>
    <t>First</t>
  </si>
  <si>
    <t>Last</t>
  </si>
  <si>
    <t>Department</t>
  </si>
  <si>
    <t>Code</t>
  </si>
  <si>
    <t>GRABNER, LUCIE</t>
  </si>
  <si>
    <t>BOSTON, CARRISA</t>
  </si>
  <si>
    <t>FOWLER, MISTY</t>
  </si>
  <si>
    <t>HAY, HEATHER</t>
  </si>
  <si>
    <t>NUTT, MARY</t>
  </si>
  <si>
    <t>STEELE, BARBARA</t>
  </si>
  <si>
    <t>WARREN, MONA</t>
  </si>
  <si>
    <t>BEIDELMAN, RYAN</t>
  </si>
  <si>
    <t>PARRISH, BETH</t>
  </si>
  <si>
    <t>RAMSEY, DONNIE</t>
  </si>
  <si>
    <t>REMICK, DOUGLAS</t>
  </si>
  <si>
    <t>61150 - JOB COACH</t>
  </si>
  <si>
    <t>$10/hour</t>
  </si>
  <si>
    <t>52150 - TEACHERS AIDES</t>
  </si>
  <si>
    <t>$13.32/hour</t>
  </si>
  <si>
    <t>52121 - TROLLEY TRAINER</t>
  </si>
  <si>
    <t>$8.37/hour</t>
  </si>
  <si>
    <t>52120 - ESE TEACHER</t>
  </si>
  <si>
    <t>73160 - CLERK/OFFICE</t>
  </si>
  <si>
    <t>$16.15/hour</t>
  </si>
  <si>
    <t>$12.76/hour</t>
  </si>
  <si>
    <t>LOBERGER, MARGE</t>
  </si>
  <si>
    <t>52750 - ESE SUB</t>
  </si>
  <si>
    <t>$65.00 a day</t>
  </si>
  <si>
    <t>$11.20/hour</t>
  </si>
  <si>
    <t>$10.00/hour</t>
  </si>
  <si>
    <t>$11.28/hour</t>
  </si>
  <si>
    <t>$12.03/hour</t>
  </si>
  <si>
    <t>WILLIAMS, CHYNA</t>
  </si>
  <si>
    <t>52121- TROLLEY TRAINER</t>
  </si>
  <si>
    <t>$8.05/hour</t>
  </si>
  <si>
    <t>WINDISCH, STEPHEN</t>
  </si>
  <si>
    <t>WOZNICK. MICHAEL</t>
  </si>
  <si>
    <t>WOZNICK, MICHAEL</t>
  </si>
  <si>
    <t>PY + Enroll Change @ 58%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</si>
</sst>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0000"/>
    <numFmt numFmtId="166" formatCode="0000"/>
    <numFmt numFmtId="167" formatCode="000"/>
    <numFmt numFmtId="168" formatCode="_(* #,##0_);_(* \(#,##0\);_(* &quot;-&quot;??_);_(@_)"/>
    <numFmt numFmtId="169" formatCode="0.0%"/>
  </numFmts>
  <fonts count="3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8"/>
      <color indexed="8"/>
      <name val="Tahoma"/>
      <family val="2"/>
    </font>
    <font>
      <b/>
      <u/>
      <sz val="10"/>
      <name val="Tahoma"/>
      <family val="2"/>
    </font>
    <font>
      <sz val="8"/>
      <name val="Tahoma"/>
      <family val="2"/>
    </font>
    <font>
      <b/>
      <sz val="10"/>
      <color indexed="8"/>
      <name val="Tahoma"/>
      <family val="2"/>
    </font>
    <font>
      <b/>
      <sz val="10"/>
      <name val="Arial"/>
      <family val="2"/>
    </font>
    <font>
      <sz val="10"/>
      <color indexed="8"/>
      <name val="Tahoma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30"/>
      <name val="Tahoma"/>
      <family val="2"/>
    </font>
    <font>
      <sz val="8"/>
      <name val="MS Sans Serif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17"/>
      <name val="Tahoma"/>
      <family val="2"/>
    </font>
    <font>
      <b/>
      <sz val="11"/>
      <color indexed="17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0" fontId="6" fillId="0" borderId="0" applyFont="0" applyFill="0" applyProtection="0"/>
    <xf numFmtId="0" fontId="9" fillId="0" borderId="0"/>
    <xf numFmtId="0" fontId="9" fillId="0" borderId="0"/>
    <xf numFmtId="9" fontId="6" fillId="0" borderId="0" applyFont="0" applyFill="0" applyProtection="0"/>
    <xf numFmtId="0" fontId="5" fillId="0" borderId="0"/>
    <xf numFmtId="0" fontId="9" fillId="0" borderId="0"/>
    <xf numFmtId="43" fontId="9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164" fontId="11" fillId="0" borderId="1" xfId="0" applyNumberFormat="1" applyFont="1" applyBorder="1" applyAlignment="1" applyProtection="1">
      <alignment horizontal="center"/>
      <protection locked="0"/>
    </xf>
    <xf numFmtId="0" fontId="10" fillId="0" borderId="0" xfId="2" applyFont="1"/>
    <xf numFmtId="0" fontId="10" fillId="0" borderId="0" xfId="2" applyFont="1" applyAlignment="1"/>
    <xf numFmtId="16" fontId="11" fillId="0" borderId="0" xfId="2" applyNumberFormat="1" applyFont="1" applyAlignment="1">
      <alignment horizontal="center"/>
    </xf>
    <xf numFmtId="0" fontId="15" fillId="0" borderId="0" xfId="2" applyFont="1"/>
    <xf numFmtId="0" fontId="11" fillId="0" borderId="2" xfId="2" applyFont="1" applyBorder="1"/>
    <xf numFmtId="0" fontId="11" fillId="0" borderId="2" xfId="2" applyFont="1" applyBorder="1" applyAlignment="1">
      <alignment horizontal="center"/>
    </xf>
    <xf numFmtId="0" fontId="10" fillId="0" borderId="0" xfId="2" applyFont="1" applyBorder="1"/>
    <xf numFmtId="0" fontId="15" fillId="0" borderId="0" xfId="2" applyFont="1" applyBorder="1"/>
    <xf numFmtId="0" fontId="11" fillId="0" borderId="0" xfId="2" applyFont="1" applyBorder="1"/>
    <xf numFmtId="0" fontId="14" fillId="0" borderId="0" xfId="2" applyFont="1" applyAlignment="1">
      <alignment horizontal="left"/>
    </xf>
    <xf numFmtId="41" fontId="10" fillId="0" borderId="0" xfId="2" applyNumberFormat="1" applyFont="1"/>
    <xf numFmtId="0" fontId="14" fillId="0" borderId="0" xfId="2" applyFont="1"/>
    <xf numFmtId="0" fontId="11" fillId="0" borderId="0" xfId="2" applyFont="1"/>
    <xf numFmtId="0" fontId="15" fillId="0" borderId="0" xfId="2" applyFont="1" applyAlignment="1"/>
    <xf numFmtId="0" fontId="13" fillId="0" borderId="0" xfId="2" applyFont="1"/>
    <xf numFmtId="0" fontId="15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7" fillId="0" borderId="0" xfId="0" applyFont="1"/>
    <xf numFmtId="0" fontId="11" fillId="0" borderId="0" xfId="2" applyFont="1" applyAlignment="1">
      <alignment horizontal="right"/>
    </xf>
    <xf numFmtId="0" fontId="10" fillId="0" borderId="0" xfId="2" applyFont="1" applyAlignment="1">
      <alignment horizontal="center"/>
    </xf>
    <xf numFmtId="38" fontId="10" fillId="0" borderId="0" xfId="2" applyNumberFormat="1" applyFont="1"/>
    <xf numFmtId="0" fontId="10" fillId="0" borderId="0" xfId="2" applyFont="1" applyBorder="1" applyAlignment="1">
      <alignment horizontal="center"/>
    </xf>
    <xf numFmtId="0" fontId="10" fillId="2" borderId="0" xfId="2" applyFont="1" applyFill="1" applyAlignment="1">
      <alignment horizontal="center"/>
    </xf>
    <xf numFmtId="41" fontId="11" fillId="0" borderId="0" xfId="1" applyNumberFormat="1" applyFont="1"/>
    <xf numFmtId="41" fontId="11" fillId="0" borderId="0" xfId="1" applyNumberFormat="1" applyFont="1" applyFill="1"/>
    <xf numFmtId="41" fontId="10" fillId="0" borderId="0" xfId="1" applyNumberFormat="1" applyFont="1" applyFill="1"/>
    <xf numFmtId="41" fontId="10" fillId="0" borderId="0" xfId="1" applyNumberFormat="1" applyFont="1"/>
    <xf numFmtId="41" fontId="6" fillId="0" borderId="0" xfId="1" applyNumberFormat="1" applyFill="1"/>
    <xf numFmtId="0" fontId="7" fillId="0" borderId="0" xfId="0" quotePrefix="1" applyFont="1"/>
    <xf numFmtId="0" fontId="7" fillId="0" borderId="0" xfId="0" applyFont="1" applyBorder="1"/>
    <xf numFmtId="0" fontId="7" fillId="0" borderId="0" xfId="0" quotePrefix="1" applyFont="1" applyBorder="1"/>
    <xf numFmtId="0" fontId="12" fillId="0" borderId="0" xfId="2" applyFont="1" applyBorder="1"/>
    <xf numFmtId="0" fontId="8" fillId="0" borderId="0" xfId="0" applyNumberFormat="1" applyFont="1"/>
    <xf numFmtId="0" fontId="8" fillId="0" borderId="0" xfId="0" applyFont="1"/>
    <xf numFmtId="0" fontId="8" fillId="0" borderId="0" xfId="0" applyFont="1" applyBorder="1"/>
    <xf numFmtId="0" fontId="17" fillId="0" borderId="0" xfId="2" applyFont="1" applyBorder="1"/>
    <xf numFmtId="41" fontId="10" fillId="0" borderId="3" xfId="1" applyNumberFormat="1" applyFont="1" applyBorder="1"/>
    <xf numFmtId="41" fontId="10" fillId="0" borderId="4" xfId="1" applyNumberFormat="1" applyFont="1" applyBorder="1"/>
    <xf numFmtId="41" fontId="10" fillId="0" borderId="0" xfId="1" applyNumberFormat="1" applyFont="1" applyBorder="1"/>
    <xf numFmtId="0" fontId="18" fillId="0" borderId="0" xfId="0" applyFont="1"/>
    <xf numFmtId="38" fontId="18" fillId="0" borderId="0" xfId="0" applyNumberFormat="1" applyFont="1"/>
    <xf numFmtId="38" fontId="18" fillId="0" borderId="0" xfId="1" applyNumberFormat="1" applyFont="1" applyFill="1"/>
    <xf numFmtId="38" fontId="18" fillId="0" borderId="0" xfId="1" applyNumberFormat="1" applyFont="1"/>
    <xf numFmtId="38" fontId="18" fillId="0" borderId="3" xfId="0" applyNumberFormat="1" applyFont="1" applyBorder="1"/>
    <xf numFmtId="164" fontId="11" fillId="0" borderId="0" xfId="0" applyNumberFormat="1" applyFont="1" applyAlignment="1" applyProtection="1">
      <alignment horizontal="center"/>
      <protection locked="0"/>
    </xf>
    <xf numFmtId="164" fontId="11" fillId="0" borderId="0" xfId="0" applyNumberFormat="1" applyFont="1" applyAlignment="1" applyProtection="1">
      <alignment horizontal="left"/>
      <protection locked="0"/>
    </xf>
    <xf numFmtId="40" fontId="11" fillId="0" borderId="0" xfId="1" applyFont="1" applyProtection="1">
      <protection locked="0"/>
    </xf>
    <xf numFmtId="38" fontId="10" fillId="0" borderId="0" xfId="1" applyNumberFormat="1" applyFont="1" applyProtection="1">
      <protection locked="0"/>
    </xf>
    <xf numFmtId="0" fontId="18" fillId="0" borderId="0" xfId="0" applyFont="1" applyAlignment="1">
      <alignment horizontal="center"/>
    </xf>
    <xf numFmtId="38" fontId="18" fillId="0" borderId="0" xfId="1" applyNumberFormat="1" applyFont="1" applyAlignment="1">
      <alignment horizontal="center"/>
    </xf>
    <xf numFmtId="38" fontId="16" fillId="0" borderId="0" xfId="1" applyNumberFormat="1" applyFont="1"/>
    <xf numFmtId="38" fontId="16" fillId="0" borderId="0" xfId="1" applyNumberFormat="1" applyFont="1" applyFill="1"/>
    <xf numFmtId="38" fontId="16" fillId="0" borderId="2" xfId="1" applyNumberFormat="1" applyFont="1" applyBorder="1"/>
    <xf numFmtId="38" fontId="16" fillId="0" borderId="3" xfId="0" applyNumberFormat="1" applyFont="1" applyFill="1" applyBorder="1" applyAlignment="1">
      <alignment horizontal="center"/>
    </xf>
    <xf numFmtId="38" fontId="16" fillId="0" borderId="3" xfId="0" applyNumberFormat="1" applyFont="1" applyFill="1" applyBorder="1"/>
    <xf numFmtId="165" fontId="18" fillId="0" borderId="0" xfId="0" applyNumberFormat="1" applyFont="1" applyAlignment="1">
      <alignment horizontal="left"/>
    </xf>
    <xf numFmtId="40" fontId="18" fillId="0" borderId="0" xfId="1" applyFont="1" applyFill="1"/>
    <xf numFmtId="1" fontId="18" fillId="0" borderId="0" xfId="0" applyNumberFormat="1" applyFont="1" applyAlignment="1">
      <alignment horizontal="left"/>
    </xf>
    <xf numFmtId="40" fontId="18" fillId="0" borderId="3" xfId="0" applyNumberFormat="1" applyFont="1" applyFill="1" applyBorder="1"/>
    <xf numFmtId="0" fontId="16" fillId="0" borderId="0" xfId="0" applyFont="1" applyAlignment="1">
      <alignment horizontal="center"/>
    </xf>
    <xf numFmtId="10" fontId="18" fillId="0" borderId="0" xfId="4" applyNumberFormat="1" applyFont="1" applyAlignment="1">
      <alignment horizontal="center"/>
    </xf>
    <xf numFmtId="10" fontId="18" fillId="0" borderId="0" xfId="4" applyNumberFormat="1" applyFont="1"/>
    <xf numFmtId="0" fontId="16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0" fillId="0" borderId="5" xfId="3" applyFont="1" applyFill="1" applyBorder="1"/>
    <xf numFmtId="0" fontId="10" fillId="0" borderId="6" xfId="3" applyFont="1" applyFill="1" applyBorder="1"/>
    <xf numFmtId="0" fontId="10" fillId="0" borderId="7" xfId="3" applyFont="1" applyFill="1" applyBorder="1"/>
    <xf numFmtId="0" fontId="10" fillId="0" borderId="0" xfId="3" applyFont="1" applyFill="1" applyBorder="1"/>
    <xf numFmtId="0" fontId="18" fillId="0" borderId="5" xfId="0" applyFont="1" applyBorder="1" applyAlignment="1">
      <alignment horizontal="center"/>
    </xf>
    <xf numFmtId="0" fontId="16" fillId="0" borderId="8" xfId="0" applyFont="1" applyFill="1" applyBorder="1"/>
    <xf numFmtId="0" fontId="18" fillId="0" borderId="0" xfId="0" applyFont="1" applyBorder="1" applyAlignment="1">
      <alignment horizontal="center"/>
    </xf>
    <xf numFmtId="0" fontId="16" fillId="0" borderId="0" xfId="0" applyFont="1" applyFill="1"/>
    <xf numFmtId="0" fontId="18" fillId="0" borderId="8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Fill="1"/>
    <xf numFmtId="0" fontId="10" fillId="0" borderId="0" xfId="0" applyFont="1" applyFill="1"/>
    <xf numFmtId="0" fontId="18" fillId="0" borderId="9" xfId="0" applyFont="1" applyBorder="1" applyAlignment="1">
      <alignment horizontal="center"/>
    </xf>
    <xf numFmtId="1" fontId="16" fillId="0" borderId="8" xfId="0" applyNumberFormat="1" applyFont="1" applyFill="1" applyBorder="1" applyAlignment="1">
      <alignment horizontal="left"/>
    </xf>
    <xf numFmtId="0" fontId="19" fillId="0" borderId="0" xfId="0" applyFont="1"/>
    <xf numFmtId="0" fontId="20" fillId="0" borderId="0" xfId="0" applyFont="1"/>
    <xf numFmtId="38" fontId="20" fillId="0" borderId="0" xfId="1" applyNumberFormat="1" applyFont="1"/>
    <xf numFmtId="0" fontId="19" fillId="0" borderId="0" xfId="0" applyFont="1" applyFill="1"/>
    <xf numFmtId="0" fontId="18" fillId="0" borderId="0" xfId="2" applyFont="1"/>
    <xf numFmtId="41" fontId="11" fillId="0" borderId="4" xfId="1" applyNumberFormat="1" applyFont="1" applyBorder="1"/>
    <xf numFmtId="41" fontId="20" fillId="0" borderId="0" xfId="0" applyNumberFormat="1" applyFont="1"/>
    <xf numFmtId="41" fontId="20" fillId="0" borderId="0" xfId="1" applyNumberFormat="1" applyFont="1"/>
    <xf numFmtId="9" fontId="20" fillId="0" borderId="0" xfId="4" applyFont="1"/>
    <xf numFmtId="40" fontId="18" fillId="0" borderId="0" xfId="1" applyFont="1"/>
    <xf numFmtId="0" fontId="16" fillId="0" borderId="0" xfId="0" applyFont="1" applyFill="1" applyBorder="1"/>
    <xf numFmtId="41" fontId="20" fillId="0" borderId="0" xfId="1" applyNumberFormat="1" applyFont="1" applyAlignment="1">
      <alignment horizontal="center"/>
    </xf>
    <xf numFmtId="41" fontId="18" fillId="0" borderId="0" xfId="0" applyNumberFormat="1" applyFont="1"/>
    <xf numFmtId="0" fontId="11" fillId="0" borderId="0" xfId="2" applyFont="1" applyAlignment="1">
      <alignment horizontal="left"/>
    </xf>
    <xf numFmtId="16" fontId="11" fillId="0" borderId="0" xfId="2" applyNumberFormat="1" applyFont="1" applyAlignment="1">
      <alignment horizontal="left"/>
    </xf>
    <xf numFmtId="164" fontId="11" fillId="0" borderId="0" xfId="0" quotePrefix="1" applyNumberFormat="1" applyFont="1" applyAlignment="1" applyProtection="1">
      <alignment horizontal="center"/>
      <protection locked="0"/>
    </xf>
    <xf numFmtId="0" fontId="16" fillId="0" borderId="8" xfId="0" quotePrefix="1" applyFont="1" applyFill="1" applyBorder="1"/>
    <xf numFmtId="0" fontId="10" fillId="0" borderId="0" xfId="0" applyFont="1"/>
    <xf numFmtId="0" fontId="11" fillId="0" borderId="2" xfId="0" applyFont="1" applyFill="1" applyBorder="1"/>
    <xf numFmtId="0" fontId="11" fillId="0" borderId="0" xfId="0" applyFont="1" applyFill="1" applyBorder="1"/>
    <xf numFmtId="0" fontId="9" fillId="0" borderId="0" xfId="0" applyFont="1" applyFill="1"/>
    <xf numFmtId="164" fontId="11" fillId="0" borderId="0" xfId="0" applyNumberFormat="1" applyFont="1" applyFill="1" applyAlignment="1" applyProtection="1">
      <alignment horizontal="center"/>
      <protection locked="0"/>
    </xf>
    <xf numFmtId="40" fontId="11" fillId="0" borderId="0" xfId="1" applyFont="1" applyFill="1" applyProtection="1">
      <protection locked="0"/>
    </xf>
    <xf numFmtId="0" fontId="21" fillId="0" borderId="0" xfId="0" applyFont="1" applyFill="1"/>
    <xf numFmtId="38" fontId="21" fillId="0" borderId="0" xfId="1" applyNumberFormat="1" applyFont="1" applyProtection="1">
      <protection locked="0"/>
    </xf>
    <xf numFmtId="0" fontId="21" fillId="0" borderId="0" xfId="3" applyFont="1" applyFill="1" applyBorder="1"/>
    <xf numFmtId="0" fontId="23" fillId="0" borderId="0" xfId="0" applyFont="1"/>
    <xf numFmtId="41" fontId="0" fillId="0" borderId="0" xfId="0" applyNumberFormat="1"/>
    <xf numFmtId="41" fontId="23" fillId="0" borderId="0" xfId="0" applyNumberFormat="1" applyFont="1"/>
    <xf numFmtId="0" fontId="24" fillId="0" borderId="0" xfId="0" applyFont="1"/>
    <xf numFmtId="41" fontId="24" fillId="0" borderId="0" xfId="0" applyNumberFormat="1" applyFont="1"/>
    <xf numFmtId="0" fontId="12" fillId="0" borderId="0" xfId="0" applyFont="1" applyFill="1"/>
    <xf numFmtId="166" fontId="18" fillId="0" borderId="0" xfId="0" applyNumberFormat="1" applyFont="1"/>
    <xf numFmtId="167" fontId="18" fillId="0" borderId="0" xfId="0" applyNumberFormat="1" applyFont="1"/>
    <xf numFmtId="41" fontId="24" fillId="0" borderId="2" xfId="0" applyNumberFormat="1" applyFont="1" applyBorder="1"/>
    <xf numFmtId="41" fontId="24" fillId="0" borderId="4" xfId="0" applyNumberFormat="1" applyFont="1" applyBorder="1"/>
    <xf numFmtId="164" fontId="11" fillId="0" borderId="0" xfId="0" applyNumberFormat="1" applyFont="1" applyFill="1" applyAlignment="1" applyProtection="1">
      <alignment horizontal="left"/>
      <protection locked="0"/>
    </xf>
    <xf numFmtId="164" fontId="11" fillId="0" borderId="1" xfId="0" applyNumberFormat="1" applyFont="1" applyFill="1" applyBorder="1" applyAlignment="1" applyProtection="1">
      <alignment horizontal="center"/>
      <protection locked="0"/>
    </xf>
    <xf numFmtId="38" fontId="10" fillId="0" borderId="0" xfId="1" applyNumberFormat="1" applyFont="1" applyFill="1" applyProtection="1">
      <protection locked="0"/>
    </xf>
    <xf numFmtId="41" fontId="19" fillId="0" borderId="0" xfId="1" applyNumberFormat="1" applyFont="1" applyAlignment="1">
      <alignment horizontal="center"/>
    </xf>
    <xf numFmtId="10" fontId="18" fillId="0" borderId="0" xfId="4" applyNumberFormat="1" applyFont="1" applyAlignment="1">
      <alignment horizontal="center"/>
    </xf>
    <xf numFmtId="41" fontId="11" fillId="0" borderId="0" xfId="1" applyNumberFormat="1" applyFont="1" applyBorder="1"/>
    <xf numFmtId="43" fontId="10" fillId="0" borderId="0" xfId="2" applyNumberFormat="1" applyFont="1"/>
    <xf numFmtId="41" fontId="10" fillId="0" borderId="2" xfId="1" applyNumberFormat="1" applyFont="1" applyBorder="1"/>
    <xf numFmtId="41" fontId="11" fillId="0" borderId="3" xfId="1" applyNumberFormat="1" applyFont="1" applyBorder="1"/>
    <xf numFmtId="9" fontId="20" fillId="0" borderId="0" xfId="0" applyNumberFormat="1" applyFont="1"/>
    <xf numFmtId="0" fontId="18" fillId="0" borderId="0" xfId="0" applyFont="1" applyFill="1" applyBorder="1"/>
    <xf numFmtId="0" fontId="11" fillId="0" borderId="0" xfId="2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38" fontId="16" fillId="0" borderId="3" xfId="0" applyNumberFormat="1" applyFont="1" applyFill="1" applyBorder="1" applyAlignment="1">
      <alignment vertical="center"/>
    </xf>
    <xf numFmtId="49" fontId="5" fillId="0" borderId="0" xfId="5" applyNumberFormat="1" applyAlignment="1">
      <alignment horizontal="left"/>
    </xf>
    <xf numFmtId="0" fontId="5" fillId="0" borderId="0" xfId="5"/>
    <xf numFmtId="0" fontId="25" fillId="0" borderId="0" xfId="5" applyFont="1" applyAlignment="1">
      <alignment horizontal="center"/>
    </xf>
    <xf numFmtId="49" fontId="26" fillId="0" borderId="0" xfId="5" applyNumberFormat="1" applyFont="1" applyAlignment="1">
      <alignment horizontal="left"/>
    </xf>
    <xf numFmtId="0" fontId="26" fillId="0" borderId="0" xfId="5" applyFont="1"/>
    <xf numFmtId="0" fontId="5" fillId="0" borderId="0" xfId="5" applyAlignment="1">
      <alignment horizontal="center"/>
    </xf>
    <xf numFmtId="41" fontId="5" fillId="0" borderId="0" xfId="5" applyNumberFormat="1"/>
    <xf numFmtId="0" fontId="4" fillId="0" borderId="0" xfId="5" applyFont="1"/>
    <xf numFmtId="41" fontId="20" fillId="0" borderId="0" xfId="1" applyNumberFormat="1" applyFont="1" applyFill="1"/>
    <xf numFmtId="41" fontId="20" fillId="0" borderId="0" xfId="0" applyNumberFormat="1" applyFont="1" applyFill="1"/>
    <xf numFmtId="0" fontId="27" fillId="0" borderId="0" xfId="6" applyFont="1"/>
    <xf numFmtId="0" fontId="28" fillId="0" borderId="0" xfId="6" applyFont="1"/>
    <xf numFmtId="14" fontId="27" fillId="0" borderId="0" xfId="6" applyNumberFormat="1" applyFont="1" applyFill="1"/>
    <xf numFmtId="0" fontId="27" fillId="0" borderId="0" xfId="6" applyFont="1" applyFill="1"/>
    <xf numFmtId="0" fontId="27" fillId="0" borderId="0" xfId="6" applyFont="1" applyAlignment="1">
      <alignment horizontal="right"/>
    </xf>
    <xf numFmtId="0" fontId="27" fillId="0" borderId="0" xfId="6" applyFont="1" applyFill="1" applyBorder="1" applyAlignment="1">
      <alignment horizontal="center"/>
    </xf>
    <xf numFmtId="14" fontId="28" fillId="0" borderId="0" xfId="6" applyNumberFormat="1" applyFont="1"/>
    <xf numFmtId="0" fontId="27" fillId="0" borderId="2" xfId="6" applyFont="1" applyBorder="1" applyAlignment="1">
      <alignment horizontal="center"/>
    </xf>
    <xf numFmtId="0" fontId="27" fillId="0" borderId="0" xfId="6" applyFont="1" applyBorder="1"/>
    <xf numFmtId="0" fontId="28" fillId="0" borderId="0" xfId="6" applyFont="1" applyFill="1"/>
    <xf numFmtId="43" fontId="28" fillId="0" borderId="0" xfId="7" applyFont="1"/>
    <xf numFmtId="43" fontId="28" fillId="0" borderId="0" xfId="6" applyNumberFormat="1" applyFont="1"/>
    <xf numFmtId="168" fontId="28" fillId="0" borderId="0" xfId="7" applyNumberFormat="1" applyFont="1" applyFill="1"/>
    <xf numFmtId="168" fontId="28" fillId="0" borderId="0" xfId="6" applyNumberFormat="1" applyFont="1"/>
    <xf numFmtId="168" fontId="27" fillId="0" borderId="3" xfId="7" applyNumberFormat="1" applyFont="1" applyBorder="1"/>
    <xf numFmtId="0" fontId="16" fillId="0" borderId="7" xfId="0" quotePrefix="1" applyFont="1" applyFill="1" applyBorder="1"/>
    <xf numFmtId="0" fontId="16" fillId="0" borderId="6" xfId="0" applyFont="1" applyFill="1" applyBorder="1"/>
    <xf numFmtId="43" fontId="5" fillId="0" borderId="0" xfId="5" applyNumberFormat="1"/>
    <xf numFmtId="0" fontId="18" fillId="3" borderId="0" xfId="0" applyFont="1" applyFill="1"/>
    <xf numFmtId="0" fontId="24" fillId="0" borderId="0" xfId="0" applyFont="1" applyFill="1"/>
    <xf numFmtId="41" fontId="24" fillId="0" borderId="0" xfId="0" applyNumberFormat="1" applyFont="1" applyFill="1"/>
    <xf numFmtId="41" fontId="19" fillId="0" borderId="0" xfId="1" applyNumberFormat="1" applyFont="1" applyFill="1" applyAlignment="1">
      <alignment horizontal="center"/>
    </xf>
    <xf numFmtId="0" fontId="11" fillId="0" borderId="0" xfId="2" applyFont="1" applyAlignment="1">
      <alignment horizontal="center"/>
    </xf>
    <xf numFmtId="49" fontId="29" fillId="0" borderId="0" xfId="9" applyNumberFormat="1" applyFont="1" applyAlignment="1">
      <alignment horizontal="left"/>
    </xf>
    <xf numFmtId="0" fontId="29" fillId="0" borderId="0" xfId="9" applyFont="1"/>
    <xf numFmtId="41" fontId="29" fillId="0" borderId="0" xfId="9" applyNumberFormat="1" applyFont="1"/>
    <xf numFmtId="41" fontId="29" fillId="0" borderId="0" xfId="8" applyNumberFormat="1" applyFont="1" applyFill="1"/>
    <xf numFmtId="16" fontId="11" fillId="0" borderId="0" xfId="2" applyNumberFormat="1" applyFont="1" applyAlignment="1">
      <alignment horizontal="center"/>
    </xf>
    <xf numFmtId="0" fontId="11" fillId="0" borderId="0" xfId="2" applyFont="1" applyAlignment="1">
      <alignment horizontal="center"/>
    </xf>
    <xf numFmtId="0" fontId="11" fillId="0" borderId="0" xfId="2" applyFont="1" applyAlignment="1">
      <alignment horizontal="left" wrapText="1"/>
    </xf>
    <xf numFmtId="0" fontId="10" fillId="0" borderId="0" xfId="2" applyFont="1" applyAlignment="1">
      <alignment horizontal="left" wrapText="1"/>
    </xf>
    <xf numFmtId="0" fontId="11" fillId="0" borderId="0" xfId="2" applyFont="1" applyAlignment="1">
      <alignment horizontal="center" wrapText="1"/>
    </xf>
    <xf numFmtId="0" fontId="11" fillId="0" borderId="0" xfId="0" applyFont="1" applyAlignment="1">
      <alignment horizontal="left"/>
    </xf>
    <xf numFmtId="10" fontId="18" fillId="0" borderId="0" xfId="4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9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" fillId="0" borderId="0" xfId="10"/>
    <xf numFmtId="41" fontId="1" fillId="0" borderId="0" xfId="10" applyNumberFormat="1" applyAlignment="1">
      <alignment horizontal="center"/>
    </xf>
    <xf numFmtId="0" fontId="1" fillId="0" borderId="0" xfId="10" applyAlignment="1">
      <alignment horizontal="center"/>
    </xf>
    <xf numFmtId="0" fontId="1" fillId="0" borderId="0" xfId="10" applyAlignment="1">
      <alignment horizontal="left"/>
    </xf>
    <xf numFmtId="43" fontId="29" fillId="0" borderId="0" xfId="9" applyNumberFormat="1" applyFont="1"/>
    <xf numFmtId="169" fontId="18" fillId="0" borderId="0" xfId="4" applyNumberFormat="1" applyFont="1"/>
    <xf numFmtId="169" fontId="18" fillId="0" borderId="0" xfId="0" applyNumberFormat="1" applyFont="1"/>
  </cellXfs>
  <cellStyles count="11">
    <cellStyle name="Comma" xfId="1" builtinId="3"/>
    <cellStyle name="Comma 2" xfId="7"/>
    <cellStyle name="Normal" xfId="0" builtinId="0"/>
    <cellStyle name="Normal 2" xfId="5"/>
    <cellStyle name="Normal 3" xfId="6"/>
    <cellStyle name="Normal 4" xfId="8"/>
    <cellStyle name="Normal 5" xfId="9"/>
    <cellStyle name="Normal 6" xfId="10"/>
    <cellStyle name="Normal_Miami Budget Update - Jan 05 - Complete PR" xfId="2"/>
    <cellStyle name="Normal_Waterstone PAYROLL 05-06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1543050</xdr:colOff>
      <xdr:row>6</xdr:row>
      <xdr:rowOff>152400</xdr:rowOff>
    </xdr:from>
    <xdr:to>
      <xdr:col>10</xdr:col>
      <xdr:colOff>723900</xdr:colOff>
      <xdr:row>32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743200" y="1257300"/>
          <a:ext cx="4953000" cy="3429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This budget assumed enrollment increases to 500 fof FY09.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See "Budget" for construction = FY09, occupancy FY10.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MARY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DATA\EXCEL\FTE97E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EITHH~1.SPE\LOCALS~1\Temp\PBEDL%20Aug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s2\c%20on%20sfs2\DOCUME~1\CHRIS-~1.BHC\LOCALS~1\Temp\C.Lotus.Notes.Data\AJC\S%20L%20Jones%20%20Operati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out\Feb%201999\PACS_f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p FB"/>
      <sheetName val="Narrative"/>
      <sheetName val="Cash Flow Startup"/>
      <sheetName val="Cash Flow 1"/>
      <sheetName val="Cash Flow 2"/>
      <sheetName val="Cash Flow 3"/>
      <sheetName val="Cash Flow 4"/>
      <sheetName val="Cash Flow 5"/>
      <sheetName val="Staffing"/>
      <sheetName val="Enroll"/>
      <sheetName val="Misc"/>
      <sheetName val="Food Svc"/>
      <sheetName val="Computer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EDL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Budget"/>
      <sheetName val="Data"/>
      <sheetName val="Personnel"/>
      <sheetName val="FD Budget 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le"/>
      <sheetName val="BS"/>
      <sheetName val="IS"/>
      <sheetName val="Forecast"/>
      <sheetName val="Revenue"/>
      <sheetName val="Expense"/>
      <sheetName val="Graph"/>
      <sheetName val="Enrollment"/>
      <sheetName val="Forecast WS"/>
      <sheetName val="Acctg IS"/>
      <sheetName val="Acctg BS"/>
      <sheetName val="Budget"/>
      <sheetName val="TB"/>
      <sheetName val="G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6">
          <cell r="A6" t="str">
            <v>Revenues</v>
          </cell>
        </row>
        <row r="8">
          <cell r="A8" t="str">
            <v>Number of Students B.O.M.</v>
          </cell>
          <cell r="B8">
            <v>819</v>
          </cell>
          <cell r="C8">
            <v>819</v>
          </cell>
          <cell r="D8">
            <v>819</v>
          </cell>
          <cell r="E8">
            <v>819</v>
          </cell>
          <cell r="F8">
            <v>819</v>
          </cell>
          <cell r="G8">
            <v>819</v>
          </cell>
          <cell r="H8">
            <v>819</v>
          </cell>
          <cell r="I8">
            <v>819</v>
          </cell>
          <cell r="J8">
            <v>819</v>
          </cell>
          <cell r="K8">
            <v>819</v>
          </cell>
          <cell r="L8">
            <v>819</v>
          </cell>
          <cell r="M8">
            <v>819</v>
          </cell>
          <cell r="N8">
            <v>819</v>
          </cell>
        </row>
        <row r="9">
          <cell r="A9" t="str">
            <v>Local Cap. / Student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A10" t="str">
            <v>State Cap. / Student</v>
          </cell>
          <cell r="B10">
            <v>332041</v>
          </cell>
          <cell r="C10">
            <v>332041</v>
          </cell>
          <cell r="D10">
            <v>233908</v>
          </cell>
          <cell r="E10">
            <v>263536</v>
          </cell>
          <cell r="F10">
            <v>290381.5</v>
          </cell>
          <cell r="G10">
            <v>294217</v>
          </cell>
          <cell r="H10">
            <v>289742</v>
          </cell>
          <cell r="I10">
            <v>289742</v>
          </cell>
          <cell r="J10">
            <v>289742</v>
          </cell>
          <cell r="K10">
            <v>289742</v>
          </cell>
          <cell r="L10">
            <v>289742</v>
          </cell>
          <cell r="M10">
            <v>289742</v>
          </cell>
          <cell r="N10">
            <v>3484576.5</v>
          </cell>
          <cell r="P10">
            <v>2035866.5</v>
          </cell>
          <cell r="Q10">
            <v>1448710</v>
          </cell>
          <cell r="R10">
            <v>3484576.5</v>
          </cell>
        </row>
        <row r="11">
          <cell r="A11" t="str">
            <v>State Start-Up Grant</v>
          </cell>
          <cell r="B11">
            <v>9583</v>
          </cell>
          <cell r="C11">
            <v>9583</v>
          </cell>
          <cell r="D11">
            <v>-19166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 t="str">
            <v>Fed Cap. / Student</v>
          </cell>
          <cell r="B12">
            <v>11887</v>
          </cell>
          <cell r="C12">
            <v>11887</v>
          </cell>
          <cell r="D12">
            <v>11887</v>
          </cell>
          <cell r="E12">
            <v>11882</v>
          </cell>
          <cell r="F12">
            <v>11053.16</v>
          </cell>
          <cell r="G12">
            <v>11049.16</v>
          </cell>
          <cell r="H12">
            <v>11054</v>
          </cell>
          <cell r="I12">
            <v>11054</v>
          </cell>
          <cell r="J12">
            <v>11054</v>
          </cell>
          <cell r="K12">
            <v>11054</v>
          </cell>
          <cell r="L12">
            <v>11054</v>
          </cell>
          <cell r="M12">
            <v>11054</v>
          </cell>
          <cell r="N12">
            <v>135969.32</v>
          </cell>
          <cell r="P12">
            <v>80699.320000000007</v>
          </cell>
          <cell r="Q12">
            <v>55270</v>
          </cell>
          <cell r="R12">
            <v>135969.32</v>
          </cell>
        </row>
        <row r="13">
          <cell r="A13" t="str">
            <v>Private Grants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5000</v>
          </cell>
          <cell r="L13">
            <v>0</v>
          </cell>
          <cell r="M13">
            <v>25000</v>
          </cell>
          <cell r="N13">
            <v>30000</v>
          </cell>
          <cell r="P13">
            <v>0</v>
          </cell>
          <cell r="Q13">
            <v>30000</v>
          </cell>
          <cell r="R13">
            <v>30000</v>
          </cell>
        </row>
        <row r="14">
          <cell r="A14" t="str">
            <v xml:space="preserve">State Spec Ed 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Fed Spec Ed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 t="str">
            <v>Total Earned Capitation</v>
          </cell>
          <cell r="B16">
            <v>353511</v>
          </cell>
          <cell r="C16">
            <v>353511</v>
          </cell>
          <cell r="D16">
            <v>226629</v>
          </cell>
          <cell r="E16">
            <v>275418</v>
          </cell>
          <cell r="F16">
            <v>301434.65999999997</v>
          </cell>
          <cell r="G16">
            <v>305266.15999999997</v>
          </cell>
          <cell r="H16">
            <v>300796</v>
          </cell>
          <cell r="I16">
            <v>300796</v>
          </cell>
          <cell r="J16">
            <v>300796</v>
          </cell>
          <cell r="K16">
            <v>305796</v>
          </cell>
          <cell r="L16">
            <v>300796</v>
          </cell>
          <cell r="M16">
            <v>325796</v>
          </cell>
          <cell r="N16">
            <v>3650545.8200000003</v>
          </cell>
          <cell r="P16">
            <v>2116565.8199999998</v>
          </cell>
          <cell r="Q16">
            <v>1533980</v>
          </cell>
          <cell r="R16">
            <v>3650545.82</v>
          </cell>
        </row>
        <row r="19">
          <cell r="A19" t="str">
            <v>Fed Free Lunch &amp; Breakfast</v>
          </cell>
          <cell r="B19">
            <v>0</v>
          </cell>
          <cell r="C19">
            <v>7200</v>
          </cell>
          <cell r="D19">
            <v>15000</v>
          </cell>
          <cell r="E19">
            <v>52800</v>
          </cell>
          <cell r="F19">
            <v>20228</v>
          </cell>
          <cell r="G19">
            <v>30000</v>
          </cell>
          <cell r="H19">
            <v>30000</v>
          </cell>
          <cell r="I19">
            <v>20000</v>
          </cell>
          <cell r="J19">
            <v>20000</v>
          </cell>
          <cell r="K19">
            <v>20000</v>
          </cell>
          <cell r="L19">
            <v>20000</v>
          </cell>
          <cell r="M19">
            <v>20000</v>
          </cell>
          <cell r="N19">
            <v>255228</v>
          </cell>
          <cell r="P19">
            <v>155228</v>
          </cell>
          <cell r="Q19">
            <v>100000</v>
          </cell>
          <cell r="R19">
            <v>255228</v>
          </cell>
        </row>
        <row r="20">
          <cell r="A20" t="str">
            <v>Fed Reduced Lunch &amp; Bkfst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10433.6505</v>
          </cell>
          <cell r="J20">
            <v>12081.069</v>
          </cell>
          <cell r="K20">
            <v>8786.232</v>
          </cell>
          <cell r="L20">
            <v>10982.79</v>
          </cell>
          <cell r="M20">
            <v>9884.5109999999986</v>
          </cell>
          <cell r="N20">
            <v>52168.252500000002</v>
          </cell>
          <cell r="P20">
            <v>0</v>
          </cell>
          <cell r="Q20">
            <v>52168.252500000002</v>
          </cell>
          <cell r="R20">
            <v>52168.252500000002</v>
          </cell>
        </row>
        <row r="21">
          <cell r="A21" t="str">
            <v>Fed Paying Student Offset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591.3180000000001</v>
          </cell>
          <cell r="J21">
            <v>684.68400000000008</v>
          </cell>
          <cell r="K21">
            <v>497.95200000000006</v>
          </cell>
          <cell r="L21">
            <v>622.44000000000005</v>
          </cell>
          <cell r="M21">
            <v>560.19600000000014</v>
          </cell>
          <cell r="N21">
            <v>2956.5900000000006</v>
          </cell>
          <cell r="P21">
            <v>0</v>
          </cell>
          <cell r="Q21">
            <v>2956.59</v>
          </cell>
          <cell r="R21">
            <v>2956.59</v>
          </cell>
        </row>
        <row r="22">
          <cell r="A22" t="str">
            <v>Student Revs Reduced</v>
          </cell>
          <cell r="B22">
            <v>0</v>
          </cell>
          <cell r="C22">
            <v>375</v>
          </cell>
          <cell r="D22">
            <v>1000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3104.4195</v>
          </cell>
          <cell r="J22">
            <v>3594.5910000000003</v>
          </cell>
          <cell r="K22">
            <v>2614.248</v>
          </cell>
          <cell r="L22">
            <v>3267.81</v>
          </cell>
          <cell r="M22">
            <v>2941.029</v>
          </cell>
          <cell r="N22">
            <v>16897.0975</v>
          </cell>
          <cell r="P22">
            <v>1375</v>
          </cell>
          <cell r="Q22">
            <v>15522.0975</v>
          </cell>
          <cell r="R22">
            <v>16897.0975</v>
          </cell>
        </row>
        <row r="23">
          <cell r="A23" t="str">
            <v>Student Revs Full</v>
          </cell>
          <cell r="B23">
            <v>0</v>
          </cell>
          <cell r="C23">
            <v>300</v>
          </cell>
          <cell r="D23">
            <v>800</v>
          </cell>
          <cell r="E23">
            <v>5025</v>
          </cell>
          <cell r="F23">
            <v>5000</v>
          </cell>
          <cell r="G23">
            <v>5000</v>
          </cell>
          <cell r="H23">
            <v>5000</v>
          </cell>
          <cell r="I23">
            <v>4574.9340000000002</v>
          </cell>
          <cell r="J23">
            <v>5297.2920000000004</v>
          </cell>
          <cell r="K23">
            <v>3852.576</v>
          </cell>
          <cell r="L23">
            <v>4815.7</v>
          </cell>
          <cell r="M23">
            <v>4334.1480000000001</v>
          </cell>
          <cell r="N23">
            <v>43999.65</v>
          </cell>
          <cell r="P23">
            <v>21125</v>
          </cell>
          <cell r="Q23">
            <v>22874.65</v>
          </cell>
          <cell r="R23">
            <v>43999.65</v>
          </cell>
        </row>
        <row r="24">
          <cell r="A24" t="str">
            <v>Total Earned Food Service</v>
          </cell>
          <cell r="B24">
            <v>0</v>
          </cell>
          <cell r="C24">
            <v>7875</v>
          </cell>
          <cell r="D24">
            <v>16800</v>
          </cell>
          <cell r="E24">
            <v>57825</v>
          </cell>
          <cell r="F24">
            <v>25228</v>
          </cell>
          <cell r="G24">
            <v>35000</v>
          </cell>
          <cell r="H24">
            <v>35000</v>
          </cell>
          <cell r="I24">
            <v>38704.322</v>
          </cell>
          <cell r="J24">
            <v>41657.635999999999</v>
          </cell>
          <cell r="K24">
            <v>35751.008000000002</v>
          </cell>
          <cell r="L24">
            <v>39688.74</v>
          </cell>
          <cell r="M24">
            <v>37719.883999999998</v>
          </cell>
          <cell r="N24">
            <v>371249.58999999997</v>
          </cell>
          <cell r="P24">
            <v>177728</v>
          </cell>
          <cell r="Q24">
            <v>193521.59</v>
          </cell>
          <cell r="R24">
            <v>371249.59</v>
          </cell>
        </row>
        <row r="26">
          <cell r="A26" t="str">
            <v>Total Revenues</v>
          </cell>
          <cell r="B26">
            <v>353511</v>
          </cell>
          <cell r="C26">
            <v>361386</v>
          </cell>
          <cell r="D26">
            <v>243429</v>
          </cell>
          <cell r="E26">
            <v>333243</v>
          </cell>
          <cell r="F26">
            <v>326662.65999999997</v>
          </cell>
          <cell r="G26">
            <v>340266.16</v>
          </cell>
          <cell r="H26">
            <v>335796</v>
          </cell>
          <cell r="I26">
            <v>339500.32199999999</v>
          </cell>
          <cell r="J26">
            <v>342453.636</v>
          </cell>
          <cell r="K26">
            <v>341547.00800000003</v>
          </cell>
          <cell r="L26">
            <v>340484.74</v>
          </cell>
          <cell r="M26">
            <v>363515.88400000002</v>
          </cell>
          <cell r="N26">
            <v>4021795.41</v>
          </cell>
          <cell r="P26">
            <v>2294293.8199999998</v>
          </cell>
          <cell r="Q26">
            <v>1727501.59</v>
          </cell>
          <cell r="R26">
            <v>4021795.4099999997</v>
          </cell>
        </row>
        <row r="29">
          <cell r="A29" t="str">
            <v>Salaried Personnel</v>
          </cell>
        </row>
        <row r="30">
          <cell r="A30" t="str">
            <v>School Leadership</v>
          </cell>
          <cell r="B30">
            <v>19502</v>
          </cell>
          <cell r="C30">
            <v>13213</v>
          </cell>
          <cell r="D30">
            <v>14486</v>
          </cell>
          <cell r="E30">
            <v>27604</v>
          </cell>
          <cell r="F30">
            <v>18205</v>
          </cell>
          <cell r="G30">
            <v>2008</v>
          </cell>
          <cell r="H30">
            <v>17757</v>
          </cell>
          <cell r="I30">
            <v>14040</v>
          </cell>
          <cell r="J30">
            <v>14040</v>
          </cell>
          <cell r="K30">
            <v>14040</v>
          </cell>
          <cell r="L30">
            <v>14040</v>
          </cell>
          <cell r="M30">
            <v>14040</v>
          </cell>
          <cell r="N30">
            <v>182975</v>
          </cell>
          <cell r="P30">
            <v>112775</v>
          </cell>
          <cell r="Q30">
            <v>70200</v>
          </cell>
          <cell r="R30">
            <v>182975</v>
          </cell>
        </row>
        <row r="31">
          <cell r="A31" t="str">
            <v>Teacher Salaries - Reg. Educ.</v>
          </cell>
          <cell r="B31">
            <v>53631</v>
          </cell>
          <cell r="C31">
            <v>82104</v>
          </cell>
          <cell r="D31">
            <v>80997</v>
          </cell>
          <cell r="E31">
            <v>81231</v>
          </cell>
          <cell r="F31">
            <v>74034</v>
          </cell>
          <cell r="G31">
            <v>61504</v>
          </cell>
          <cell r="H31">
            <v>103922</v>
          </cell>
          <cell r="I31">
            <v>76180</v>
          </cell>
          <cell r="J31">
            <v>76180</v>
          </cell>
          <cell r="K31">
            <v>76180</v>
          </cell>
          <cell r="L31">
            <v>76180</v>
          </cell>
          <cell r="M31">
            <v>76180</v>
          </cell>
          <cell r="N31">
            <v>918323</v>
          </cell>
          <cell r="P31">
            <v>537423</v>
          </cell>
          <cell r="Q31">
            <v>380900</v>
          </cell>
          <cell r="R31">
            <v>918323</v>
          </cell>
        </row>
        <row r="32">
          <cell r="A32" t="str">
            <v>Teacher Salaries - SPED</v>
          </cell>
          <cell r="B32">
            <v>2500</v>
          </cell>
          <cell r="C32">
            <v>4356</v>
          </cell>
          <cell r="D32">
            <v>6248</v>
          </cell>
          <cell r="E32">
            <v>3271</v>
          </cell>
          <cell r="F32">
            <v>4625</v>
          </cell>
          <cell r="G32">
            <v>3375</v>
          </cell>
          <cell r="H32">
            <v>5958</v>
          </cell>
          <cell r="I32">
            <v>2773.3333333333335</v>
          </cell>
          <cell r="J32">
            <v>2773.3333333333335</v>
          </cell>
          <cell r="K32">
            <v>2773.3333333333335</v>
          </cell>
          <cell r="L32">
            <v>2773.3333333333335</v>
          </cell>
          <cell r="M32">
            <v>2773.3333333333335</v>
          </cell>
          <cell r="N32">
            <v>44199.666666666672</v>
          </cell>
          <cell r="P32">
            <v>30333</v>
          </cell>
          <cell r="Q32">
            <v>13866.666666666668</v>
          </cell>
          <cell r="R32">
            <v>44199.666666666672</v>
          </cell>
        </row>
        <row r="33">
          <cell r="A33" t="str">
            <v>Specialty Teachers</v>
          </cell>
          <cell r="B33">
            <v>8542</v>
          </cell>
          <cell r="C33">
            <v>5355</v>
          </cell>
          <cell r="D33">
            <v>5270</v>
          </cell>
          <cell r="E33">
            <v>12843</v>
          </cell>
          <cell r="F33">
            <v>5605</v>
          </cell>
          <cell r="G33">
            <v>5604</v>
          </cell>
          <cell r="H33">
            <v>6876</v>
          </cell>
          <cell r="I33">
            <v>10400</v>
          </cell>
          <cell r="J33">
            <v>10400</v>
          </cell>
          <cell r="K33">
            <v>10400</v>
          </cell>
          <cell r="L33">
            <v>10400</v>
          </cell>
          <cell r="M33">
            <v>10400</v>
          </cell>
          <cell r="N33">
            <v>102095</v>
          </cell>
          <cell r="P33">
            <v>50095</v>
          </cell>
          <cell r="Q33">
            <v>52000</v>
          </cell>
          <cell r="R33">
            <v>102095</v>
          </cell>
        </row>
        <row r="34">
          <cell r="A34" t="str">
            <v xml:space="preserve">Technology Staff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 t="str">
            <v>Instructional Asst.</v>
          </cell>
          <cell r="B35">
            <v>13635</v>
          </cell>
          <cell r="C35">
            <v>21770</v>
          </cell>
          <cell r="D35">
            <v>24174</v>
          </cell>
          <cell r="E35">
            <v>26478</v>
          </cell>
          <cell r="F35">
            <v>24129</v>
          </cell>
          <cell r="G35">
            <v>24694</v>
          </cell>
          <cell r="H35">
            <v>29688</v>
          </cell>
          <cell r="I35">
            <v>20000</v>
          </cell>
          <cell r="J35">
            <v>20000</v>
          </cell>
          <cell r="K35">
            <v>20000</v>
          </cell>
          <cell r="L35">
            <v>20000</v>
          </cell>
          <cell r="M35">
            <v>20000</v>
          </cell>
          <cell r="N35">
            <v>264568</v>
          </cell>
          <cell r="P35">
            <v>164568</v>
          </cell>
          <cell r="Q35">
            <v>100000</v>
          </cell>
          <cell r="R35">
            <v>264568</v>
          </cell>
        </row>
        <row r="36">
          <cell r="A36" t="str">
            <v>Health &amp; Guidance</v>
          </cell>
          <cell r="B36">
            <v>1260</v>
          </cell>
          <cell r="C36">
            <v>1360</v>
          </cell>
          <cell r="D36">
            <v>1825</v>
          </cell>
          <cell r="E36">
            <v>2116</v>
          </cell>
          <cell r="F36">
            <v>1941</v>
          </cell>
          <cell r="G36">
            <v>2242</v>
          </cell>
          <cell r="H36">
            <v>1941</v>
          </cell>
          <cell r="I36">
            <v>2600</v>
          </cell>
          <cell r="J36">
            <v>2600</v>
          </cell>
          <cell r="K36">
            <v>2600</v>
          </cell>
          <cell r="L36">
            <v>2600</v>
          </cell>
          <cell r="M36">
            <v>2600</v>
          </cell>
          <cell r="N36">
            <v>25685</v>
          </cell>
          <cell r="P36">
            <v>12685</v>
          </cell>
          <cell r="Q36">
            <v>13000</v>
          </cell>
          <cell r="R36">
            <v>25685</v>
          </cell>
        </row>
        <row r="37">
          <cell r="A37" t="str">
            <v>Librarian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2127</v>
          </cell>
          <cell r="G37">
            <v>2034</v>
          </cell>
          <cell r="H37">
            <v>2033</v>
          </cell>
          <cell r="I37">
            <v>2253.3333333333335</v>
          </cell>
          <cell r="J37">
            <v>2253.3333333333335</v>
          </cell>
          <cell r="K37">
            <v>2253.3333333333335</v>
          </cell>
          <cell r="L37">
            <v>2253.3333333333335</v>
          </cell>
          <cell r="M37">
            <v>2253.3333333333335</v>
          </cell>
          <cell r="N37">
            <v>17460.666666666668</v>
          </cell>
          <cell r="P37">
            <v>6194</v>
          </cell>
          <cell r="Q37">
            <v>11266.666666666668</v>
          </cell>
          <cell r="R37">
            <v>17460.666666666668</v>
          </cell>
        </row>
        <row r="38">
          <cell r="A38" t="str">
            <v>Total Salaries</v>
          </cell>
          <cell r="B38">
            <v>99070</v>
          </cell>
          <cell r="C38">
            <v>128158</v>
          </cell>
          <cell r="D38">
            <v>133000</v>
          </cell>
          <cell r="E38">
            <v>153543</v>
          </cell>
          <cell r="F38">
            <v>130666</v>
          </cell>
          <cell r="G38">
            <v>101461</v>
          </cell>
          <cell r="H38">
            <v>168175</v>
          </cell>
          <cell r="I38">
            <v>128246.66666666666</v>
          </cell>
          <cell r="J38">
            <v>128246.66666666666</v>
          </cell>
          <cell r="K38">
            <v>128246.66666666666</v>
          </cell>
          <cell r="L38">
            <v>128246.66666666666</v>
          </cell>
          <cell r="M38">
            <v>128246.66666666666</v>
          </cell>
          <cell r="N38">
            <v>1555306.3333333333</v>
          </cell>
          <cell r="P38">
            <v>914073</v>
          </cell>
          <cell r="Q38">
            <v>641233.33333333337</v>
          </cell>
          <cell r="R38">
            <v>1555306.3333333335</v>
          </cell>
        </row>
        <row r="40">
          <cell r="A40" t="str">
            <v>Hourly Wage Personnel</v>
          </cell>
        </row>
        <row r="41">
          <cell r="A41" t="str">
            <v>Administrative Staff</v>
          </cell>
          <cell r="B41">
            <v>4134</v>
          </cell>
          <cell r="C41">
            <v>4034</v>
          </cell>
          <cell r="D41">
            <v>3543</v>
          </cell>
          <cell r="E41">
            <v>7399</v>
          </cell>
          <cell r="F41">
            <v>3777</v>
          </cell>
          <cell r="G41">
            <v>4104</v>
          </cell>
          <cell r="H41">
            <v>7036</v>
          </cell>
          <cell r="I41">
            <v>7036</v>
          </cell>
          <cell r="J41">
            <v>7036</v>
          </cell>
          <cell r="K41">
            <v>7036</v>
          </cell>
          <cell r="L41">
            <v>7036</v>
          </cell>
          <cell r="M41">
            <v>7036</v>
          </cell>
          <cell r="N41">
            <v>69207</v>
          </cell>
          <cell r="P41">
            <v>34027</v>
          </cell>
          <cell r="Q41">
            <v>35180</v>
          </cell>
          <cell r="R41">
            <v>69207</v>
          </cell>
        </row>
        <row r="42">
          <cell r="A42" t="str">
            <v>Custodial Staff</v>
          </cell>
          <cell r="B42">
            <v>1500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750</v>
          </cell>
          <cell r="I42">
            <v>1560</v>
          </cell>
          <cell r="J42">
            <v>1560</v>
          </cell>
          <cell r="K42">
            <v>1560</v>
          </cell>
          <cell r="L42">
            <v>1560</v>
          </cell>
          <cell r="M42">
            <v>1560</v>
          </cell>
          <cell r="N42">
            <v>10050</v>
          </cell>
          <cell r="P42">
            <v>2250</v>
          </cell>
          <cell r="Q42">
            <v>7800</v>
          </cell>
          <cell r="R42">
            <v>10050</v>
          </cell>
        </row>
        <row r="43">
          <cell r="A43" t="str">
            <v>Food Service Staff</v>
          </cell>
          <cell r="B43">
            <v>536</v>
          </cell>
          <cell r="C43">
            <v>891</v>
          </cell>
          <cell r="D43">
            <v>1775</v>
          </cell>
          <cell r="E43">
            <v>3149</v>
          </cell>
          <cell r="F43">
            <v>5293</v>
          </cell>
          <cell r="G43">
            <v>1915</v>
          </cell>
          <cell r="H43">
            <v>3739</v>
          </cell>
          <cell r="I43">
            <v>2080</v>
          </cell>
          <cell r="J43">
            <v>2080</v>
          </cell>
          <cell r="K43">
            <v>2080</v>
          </cell>
          <cell r="L43">
            <v>2080</v>
          </cell>
          <cell r="M43">
            <v>2080</v>
          </cell>
          <cell r="N43">
            <v>27698</v>
          </cell>
          <cell r="P43">
            <v>17298</v>
          </cell>
          <cell r="Q43">
            <v>10400</v>
          </cell>
          <cell r="R43">
            <v>27698</v>
          </cell>
        </row>
        <row r="44">
          <cell r="A44" t="str">
            <v>Other School Staff</v>
          </cell>
          <cell r="B44">
            <v>2000</v>
          </cell>
          <cell r="C44">
            <v>3880</v>
          </cell>
          <cell r="D44">
            <v>22447</v>
          </cell>
          <cell r="E44">
            <v>2918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31245</v>
          </cell>
          <cell r="P44">
            <v>31245</v>
          </cell>
          <cell r="Q44">
            <v>0</v>
          </cell>
          <cell r="R44">
            <v>31245</v>
          </cell>
        </row>
        <row r="45">
          <cell r="A45" t="str">
            <v>Temporary Staff</v>
          </cell>
          <cell r="B45">
            <v>2480</v>
          </cell>
          <cell r="C45">
            <v>4148</v>
          </cell>
          <cell r="D45">
            <v>10033</v>
          </cell>
          <cell r="E45">
            <v>4890</v>
          </cell>
          <cell r="F45">
            <v>8320</v>
          </cell>
          <cell r="G45">
            <v>4700</v>
          </cell>
          <cell r="H45">
            <v>4519</v>
          </cell>
          <cell r="I45">
            <v>1050</v>
          </cell>
          <cell r="J45">
            <v>1050</v>
          </cell>
          <cell r="K45">
            <v>1050</v>
          </cell>
          <cell r="L45">
            <v>1050</v>
          </cell>
          <cell r="M45">
            <v>1050</v>
          </cell>
          <cell r="N45">
            <v>44340</v>
          </cell>
          <cell r="P45">
            <v>39090</v>
          </cell>
          <cell r="Q45">
            <v>5250</v>
          </cell>
          <cell r="R45">
            <v>44340</v>
          </cell>
        </row>
        <row r="46">
          <cell r="A46" t="str">
            <v>Total Hourly Wages</v>
          </cell>
          <cell r="B46">
            <v>10650</v>
          </cell>
          <cell r="C46">
            <v>12953</v>
          </cell>
          <cell r="D46">
            <v>37798</v>
          </cell>
          <cell r="E46">
            <v>18356</v>
          </cell>
          <cell r="F46">
            <v>17390</v>
          </cell>
          <cell r="G46">
            <v>10719</v>
          </cell>
          <cell r="H46">
            <v>16044</v>
          </cell>
          <cell r="I46">
            <v>11726</v>
          </cell>
          <cell r="J46">
            <v>11726</v>
          </cell>
          <cell r="K46">
            <v>11726</v>
          </cell>
          <cell r="L46">
            <v>11726</v>
          </cell>
          <cell r="M46">
            <v>11726</v>
          </cell>
          <cell r="N46">
            <v>182540</v>
          </cell>
          <cell r="P46">
            <v>123910</v>
          </cell>
          <cell r="Q46">
            <v>58630</v>
          </cell>
          <cell r="R46">
            <v>182540</v>
          </cell>
        </row>
        <row r="48">
          <cell r="A48" t="str">
            <v>Taxes &amp; Benefits</v>
          </cell>
        </row>
        <row r="49">
          <cell r="A49" t="str">
            <v>Group Insurance &amp; Other</v>
          </cell>
          <cell r="B49">
            <v>335</v>
          </cell>
          <cell r="C49">
            <v>11091</v>
          </cell>
          <cell r="D49">
            <v>13335</v>
          </cell>
          <cell r="E49">
            <v>13539</v>
          </cell>
          <cell r="F49">
            <v>32083</v>
          </cell>
          <cell r="G49">
            <v>50163</v>
          </cell>
          <cell r="H49">
            <v>22933</v>
          </cell>
          <cell r="I49">
            <v>19878.233333333334</v>
          </cell>
          <cell r="J49">
            <v>19878.233333333334</v>
          </cell>
          <cell r="K49">
            <v>19878.233333333334</v>
          </cell>
          <cell r="L49">
            <v>29878.233333333301</v>
          </cell>
          <cell r="M49">
            <v>29878.233333333301</v>
          </cell>
          <cell r="N49">
            <v>262870.16666666663</v>
          </cell>
          <cell r="P49">
            <v>143479</v>
          </cell>
          <cell r="Q49">
            <v>119391.1666666666</v>
          </cell>
          <cell r="R49">
            <v>262870.16666666663</v>
          </cell>
        </row>
        <row r="50">
          <cell r="A50" t="str">
            <v>Worker's Compensation</v>
          </cell>
          <cell r="B50">
            <v>518</v>
          </cell>
          <cell r="C50">
            <v>518</v>
          </cell>
          <cell r="D50">
            <v>518</v>
          </cell>
          <cell r="E50">
            <v>-733</v>
          </cell>
          <cell r="F50">
            <v>204</v>
          </cell>
          <cell r="G50">
            <v>203</v>
          </cell>
          <cell r="H50">
            <v>-641</v>
          </cell>
          <cell r="I50">
            <v>686.7833333333333</v>
          </cell>
          <cell r="J50">
            <v>686.7833333333333</v>
          </cell>
          <cell r="K50">
            <v>686.7833333333333</v>
          </cell>
          <cell r="L50">
            <v>686.7833333333333</v>
          </cell>
          <cell r="M50">
            <v>686.7833333333333</v>
          </cell>
          <cell r="N50">
            <v>4020.9166666666665</v>
          </cell>
          <cell r="P50">
            <v>587</v>
          </cell>
          <cell r="Q50">
            <v>3433.9166666666665</v>
          </cell>
          <cell r="R50">
            <v>4020.9166666666665</v>
          </cell>
        </row>
        <row r="51">
          <cell r="A51" t="str">
            <v>Payroll Taxes</v>
          </cell>
          <cell r="B51">
            <v>8377</v>
          </cell>
          <cell r="C51">
            <v>13014</v>
          </cell>
          <cell r="D51">
            <v>15481</v>
          </cell>
          <cell r="E51">
            <v>13449</v>
          </cell>
          <cell r="F51">
            <v>12419</v>
          </cell>
          <cell r="G51">
            <v>5341</v>
          </cell>
          <cell r="H51">
            <v>18774</v>
          </cell>
          <cell r="I51">
            <v>10782.498333333331</v>
          </cell>
          <cell r="J51">
            <v>10782.498333333331</v>
          </cell>
          <cell r="K51">
            <v>10782.498333333331</v>
          </cell>
          <cell r="L51">
            <v>10782.498333333331</v>
          </cell>
          <cell r="M51">
            <v>10782.498333333331</v>
          </cell>
          <cell r="N51">
            <v>140767.49166666664</v>
          </cell>
          <cell r="P51">
            <v>86855</v>
          </cell>
          <cell r="Q51">
            <v>53912.491666666654</v>
          </cell>
          <cell r="R51">
            <v>140767.49166666664</v>
          </cell>
        </row>
        <row r="52">
          <cell r="A52" t="str">
            <v>Total Taxes &amp; Benefits</v>
          </cell>
          <cell r="B52">
            <v>9230</v>
          </cell>
          <cell r="C52">
            <v>24623</v>
          </cell>
          <cell r="D52">
            <v>29334</v>
          </cell>
          <cell r="E52">
            <v>26255</v>
          </cell>
          <cell r="F52">
            <v>44706</v>
          </cell>
          <cell r="G52">
            <v>55707</v>
          </cell>
          <cell r="H52">
            <v>41066</v>
          </cell>
          <cell r="I52">
            <v>31347.514999999999</v>
          </cell>
          <cell r="J52">
            <v>31347.514999999999</v>
          </cell>
          <cell r="K52">
            <v>31347.514999999999</v>
          </cell>
          <cell r="L52">
            <v>41347.514999999963</v>
          </cell>
          <cell r="M52">
            <v>41347.514999999963</v>
          </cell>
          <cell r="N52">
            <v>407658.57499999995</v>
          </cell>
          <cell r="P52">
            <v>230921</v>
          </cell>
          <cell r="Q52">
            <v>176737.57499999992</v>
          </cell>
          <cell r="R52">
            <v>407658.57499999995</v>
          </cell>
        </row>
        <row r="54">
          <cell r="A54" t="str">
            <v>Contracted SPED - Instruction</v>
          </cell>
          <cell r="B54">
            <v>0</v>
          </cell>
          <cell r="C54">
            <v>0</v>
          </cell>
          <cell r="D54">
            <v>0</v>
          </cell>
          <cell r="E54">
            <v>15397</v>
          </cell>
          <cell r="F54">
            <v>0</v>
          </cell>
          <cell r="G54">
            <v>0</v>
          </cell>
          <cell r="H54">
            <v>0</v>
          </cell>
          <cell r="I54">
            <v>2730</v>
          </cell>
          <cell r="J54">
            <v>2730</v>
          </cell>
          <cell r="K54">
            <v>2730</v>
          </cell>
          <cell r="L54">
            <v>2730</v>
          </cell>
          <cell r="M54">
            <v>2730</v>
          </cell>
          <cell r="N54">
            <v>29047</v>
          </cell>
          <cell r="P54">
            <v>15397</v>
          </cell>
          <cell r="Q54">
            <v>13650</v>
          </cell>
          <cell r="R54">
            <v>29047</v>
          </cell>
        </row>
        <row r="56">
          <cell r="A56" t="str">
            <v>Total Cost of Compensation</v>
          </cell>
          <cell r="B56">
            <v>118950</v>
          </cell>
          <cell r="C56">
            <v>165734</v>
          </cell>
          <cell r="D56">
            <v>200132</v>
          </cell>
          <cell r="E56">
            <v>213551</v>
          </cell>
          <cell r="F56">
            <v>192762</v>
          </cell>
          <cell r="G56">
            <v>167887</v>
          </cell>
          <cell r="H56">
            <v>225285</v>
          </cell>
          <cell r="I56">
            <v>174050.18166666664</v>
          </cell>
          <cell r="J56">
            <v>174050.18166666664</v>
          </cell>
          <cell r="K56">
            <v>174050.18166666664</v>
          </cell>
          <cell r="L56">
            <v>184050.18166666661</v>
          </cell>
          <cell r="M56">
            <v>184050.18166666661</v>
          </cell>
          <cell r="N56">
            <v>2174551.9083333332</v>
          </cell>
          <cell r="P56">
            <v>1284301</v>
          </cell>
          <cell r="Q56">
            <v>890250.90833333333</v>
          </cell>
          <cell r="R56">
            <v>2174551.9083333332</v>
          </cell>
        </row>
        <row r="58">
          <cell r="A58" t="str">
            <v>Revenues Less Total Compensation</v>
          </cell>
          <cell r="B58">
            <v>234561</v>
          </cell>
          <cell r="C58">
            <v>195652</v>
          </cell>
          <cell r="D58">
            <v>43297</v>
          </cell>
          <cell r="E58">
            <v>119692</v>
          </cell>
          <cell r="F58">
            <v>133900.65999999997</v>
          </cell>
          <cell r="G58">
            <v>172379.15999999997</v>
          </cell>
          <cell r="H58">
            <v>110511</v>
          </cell>
          <cell r="I58">
            <v>165450.14033333334</v>
          </cell>
          <cell r="J58">
            <v>168403.45433333336</v>
          </cell>
          <cell r="K58">
            <v>167496.82633333339</v>
          </cell>
          <cell r="L58">
            <v>156434.55833333338</v>
          </cell>
          <cell r="M58">
            <v>179465.70233333341</v>
          </cell>
          <cell r="N58">
            <v>1847243.5016666667</v>
          </cell>
          <cell r="P58">
            <v>1009992.8199999998</v>
          </cell>
          <cell r="Q58">
            <v>837250.68166666676</v>
          </cell>
          <cell r="R58">
            <v>1847243.5016666665</v>
          </cell>
        </row>
        <row r="60">
          <cell r="A60" t="str">
            <v>Professional Services</v>
          </cell>
        </row>
        <row r="61">
          <cell r="A61" t="str">
            <v>Legal Fees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364</v>
          </cell>
          <cell r="J61">
            <v>364</v>
          </cell>
          <cell r="K61">
            <v>364</v>
          </cell>
          <cell r="L61">
            <v>364</v>
          </cell>
          <cell r="M61">
            <v>364</v>
          </cell>
          <cell r="N61">
            <v>1820</v>
          </cell>
          <cell r="P61">
            <v>0</v>
          </cell>
          <cell r="Q61">
            <v>1820</v>
          </cell>
          <cell r="R61">
            <v>1820</v>
          </cell>
        </row>
        <row r="62">
          <cell r="A62" t="str">
            <v>Accounting Services</v>
          </cell>
          <cell r="B62">
            <v>198</v>
          </cell>
          <cell r="C62">
            <v>752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409.5</v>
          </cell>
          <cell r="J62">
            <v>409.5</v>
          </cell>
          <cell r="K62">
            <v>409.5</v>
          </cell>
          <cell r="L62">
            <v>409.5</v>
          </cell>
          <cell r="M62">
            <v>409.5</v>
          </cell>
          <cell r="N62">
            <v>2997.5</v>
          </cell>
          <cell r="P62">
            <v>950</v>
          </cell>
          <cell r="Q62">
            <v>2047.5</v>
          </cell>
          <cell r="R62">
            <v>2997.5</v>
          </cell>
        </row>
        <row r="63">
          <cell r="A63" t="str">
            <v>Consulting Fees</v>
          </cell>
          <cell r="B63">
            <v>713</v>
          </cell>
          <cell r="C63">
            <v>8937</v>
          </cell>
          <cell r="D63">
            <v>2723</v>
          </cell>
          <cell r="E63">
            <v>-12373</v>
          </cell>
          <cell r="F63">
            <v>480</v>
          </cell>
          <cell r="G63">
            <v>0</v>
          </cell>
          <cell r="H63">
            <v>4713</v>
          </cell>
          <cell r="I63">
            <v>1820</v>
          </cell>
          <cell r="J63">
            <v>1820</v>
          </cell>
          <cell r="K63">
            <v>1820</v>
          </cell>
          <cell r="L63">
            <v>1820</v>
          </cell>
          <cell r="M63">
            <v>1820</v>
          </cell>
          <cell r="N63">
            <v>14293</v>
          </cell>
          <cell r="P63">
            <v>5193</v>
          </cell>
          <cell r="Q63">
            <v>9100</v>
          </cell>
          <cell r="R63">
            <v>14293</v>
          </cell>
        </row>
        <row r="64">
          <cell r="A64" t="str">
            <v>Bank Service Fees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136.5</v>
          </cell>
          <cell r="J64">
            <v>136.5</v>
          </cell>
          <cell r="K64">
            <v>136.5</v>
          </cell>
          <cell r="L64">
            <v>136.5</v>
          </cell>
          <cell r="M64">
            <v>136.5</v>
          </cell>
          <cell r="N64">
            <v>682.5</v>
          </cell>
          <cell r="P64">
            <v>0</v>
          </cell>
          <cell r="Q64">
            <v>682.5</v>
          </cell>
          <cell r="R64">
            <v>682.5</v>
          </cell>
        </row>
        <row r="65">
          <cell r="A65" t="str">
            <v>Computer Service Fees</v>
          </cell>
          <cell r="B65">
            <v>482</v>
          </cell>
          <cell r="C65">
            <v>482</v>
          </cell>
          <cell r="D65">
            <v>482</v>
          </cell>
          <cell r="E65">
            <v>0</v>
          </cell>
          <cell r="F65">
            <v>0</v>
          </cell>
          <cell r="G65">
            <v>965</v>
          </cell>
          <cell r="H65">
            <v>1703</v>
          </cell>
          <cell r="I65">
            <v>750</v>
          </cell>
          <cell r="J65">
            <v>750</v>
          </cell>
          <cell r="K65">
            <v>750</v>
          </cell>
          <cell r="L65">
            <v>750</v>
          </cell>
          <cell r="M65">
            <v>750</v>
          </cell>
          <cell r="N65">
            <v>7864</v>
          </cell>
          <cell r="P65">
            <v>4114</v>
          </cell>
          <cell r="Q65">
            <v>3750</v>
          </cell>
          <cell r="R65">
            <v>7864</v>
          </cell>
        </row>
        <row r="66">
          <cell r="A66" t="str">
            <v>Temporary Agency Fees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 t="str">
            <v>Recruiting Fees</v>
          </cell>
          <cell r="B67">
            <v>0</v>
          </cell>
          <cell r="C67">
            <v>779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1820</v>
          </cell>
          <cell r="L67">
            <v>1820</v>
          </cell>
          <cell r="M67">
            <v>1820</v>
          </cell>
          <cell r="N67">
            <v>6239</v>
          </cell>
          <cell r="P67">
            <v>779</v>
          </cell>
          <cell r="Q67">
            <v>5460</v>
          </cell>
          <cell r="R67">
            <v>6239</v>
          </cell>
        </row>
        <row r="68">
          <cell r="A68" t="str">
            <v>School Management Fees</v>
          </cell>
          <cell r="B68">
            <v>58283</v>
          </cell>
          <cell r="C68">
            <v>63568</v>
          </cell>
          <cell r="D68">
            <v>83551</v>
          </cell>
          <cell r="E68">
            <v>73313</v>
          </cell>
          <cell r="F68">
            <v>71865</v>
          </cell>
          <cell r="G68">
            <v>74859</v>
          </cell>
          <cell r="H68">
            <v>73875</v>
          </cell>
          <cell r="I68">
            <v>74690.07084</v>
          </cell>
          <cell r="J68">
            <v>75339.799920000005</v>
          </cell>
          <cell r="K68">
            <v>75140.34176000001</v>
          </cell>
          <cell r="L68">
            <v>74906.642800000001</v>
          </cell>
          <cell r="M68">
            <v>79973.494480000008</v>
          </cell>
          <cell r="N68">
            <v>879364.34979999997</v>
          </cell>
          <cell r="P68">
            <v>499314</v>
          </cell>
          <cell r="Q68">
            <v>380050.34980000003</v>
          </cell>
          <cell r="R68">
            <v>879364.34979999997</v>
          </cell>
        </row>
        <row r="69">
          <cell r="A69" t="str">
            <v xml:space="preserve">Marketing &amp; Enrollment Fees 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300</v>
          </cell>
          <cell r="L69">
            <v>300</v>
          </cell>
          <cell r="M69">
            <v>300</v>
          </cell>
          <cell r="N69">
            <v>900</v>
          </cell>
          <cell r="P69">
            <v>0</v>
          </cell>
          <cell r="Q69">
            <v>900</v>
          </cell>
          <cell r="R69">
            <v>900</v>
          </cell>
        </row>
        <row r="70">
          <cell r="A70" t="str">
            <v>Local Advertising Fund</v>
          </cell>
          <cell r="B70">
            <v>1479</v>
          </cell>
          <cell r="C70">
            <v>304</v>
          </cell>
          <cell r="D70">
            <v>0</v>
          </cell>
          <cell r="E70">
            <v>0</v>
          </cell>
          <cell r="F70">
            <v>90</v>
          </cell>
          <cell r="G70">
            <v>-290</v>
          </cell>
          <cell r="H70">
            <v>-265</v>
          </cell>
          <cell r="I70">
            <v>0</v>
          </cell>
          <cell r="J70">
            <v>0</v>
          </cell>
          <cell r="K70">
            <v>500</v>
          </cell>
          <cell r="L70">
            <v>1000</v>
          </cell>
          <cell r="M70">
            <v>3500</v>
          </cell>
          <cell r="N70">
            <v>6318</v>
          </cell>
          <cell r="P70">
            <v>1318</v>
          </cell>
          <cell r="Q70">
            <v>5000</v>
          </cell>
          <cell r="R70">
            <v>6318</v>
          </cell>
        </row>
        <row r="71">
          <cell r="B71">
            <v>61155</v>
          </cell>
          <cell r="C71">
            <v>74822</v>
          </cell>
          <cell r="D71">
            <v>86756</v>
          </cell>
          <cell r="E71">
            <v>60940</v>
          </cell>
          <cell r="F71">
            <v>72435</v>
          </cell>
          <cell r="G71">
            <v>75534</v>
          </cell>
          <cell r="H71">
            <v>80026</v>
          </cell>
          <cell r="I71">
            <v>78170.07084</v>
          </cell>
          <cell r="J71">
            <v>78819.799920000005</v>
          </cell>
          <cell r="K71">
            <v>81240.34176000001</v>
          </cell>
          <cell r="L71">
            <v>81506.642800000001</v>
          </cell>
          <cell r="M71">
            <v>89073.494480000008</v>
          </cell>
          <cell r="N71">
            <v>920478.34979999997</v>
          </cell>
          <cell r="P71">
            <v>511668</v>
          </cell>
          <cell r="Q71">
            <v>408810.34980000003</v>
          </cell>
          <cell r="R71">
            <v>920478.34979999997</v>
          </cell>
        </row>
        <row r="73">
          <cell r="A73" t="str">
            <v>Vendor Services</v>
          </cell>
        </row>
        <row r="74">
          <cell r="A74" t="str">
            <v>Contracted Pupil Transportation</v>
          </cell>
          <cell r="B74">
            <v>244</v>
          </cell>
          <cell r="C74">
            <v>19800</v>
          </cell>
          <cell r="D74">
            <v>20146</v>
          </cell>
          <cell r="E74">
            <v>19962</v>
          </cell>
          <cell r="F74">
            <v>30909</v>
          </cell>
          <cell r="G74">
            <v>39288</v>
          </cell>
          <cell r="H74">
            <v>35989</v>
          </cell>
          <cell r="I74">
            <v>35000</v>
          </cell>
          <cell r="J74">
            <v>35000</v>
          </cell>
          <cell r="K74">
            <v>35000</v>
          </cell>
          <cell r="L74">
            <v>35000</v>
          </cell>
          <cell r="M74">
            <v>35000</v>
          </cell>
          <cell r="N74">
            <v>341338</v>
          </cell>
          <cell r="P74">
            <v>166338</v>
          </cell>
          <cell r="Q74">
            <v>175000</v>
          </cell>
          <cell r="R74">
            <v>341338</v>
          </cell>
        </row>
        <row r="75">
          <cell r="A75" t="str">
            <v>Contracted Food Service</v>
          </cell>
          <cell r="B75">
            <v>0</v>
          </cell>
          <cell r="C75">
            <v>7875</v>
          </cell>
          <cell r="D75">
            <v>13854</v>
          </cell>
          <cell r="E75">
            <v>43457</v>
          </cell>
          <cell r="F75">
            <v>27671</v>
          </cell>
          <cell r="G75">
            <v>71018</v>
          </cell>
          <cell r="H75">
            <v>44069</v>
          </cell>
          <cell r="I75">
            <v>46107.242999999995</v>
          </cell>
          <cell r="J75">
            <v>53387.333999999995</v>
          </cell>
          <cell r="K75">
            <v>38827.152000000002</v>
          </cell>
          <cell r="L75">
            <v>48533.94</v>
          </cell>
          <cell r="M75">
            <v>43680.546000000002</v>
          </cell>
          <cell r="N75">
            <v>438480.21499999997</v>
          </cell>
          <cell r="P75">
            <v>207944</v>
          </cell>
          <cell r="Q75">
            <v>230536.215</v>
          </cell>
          <cell r="R75">
            <v>438480.21499999997</v>
          </cell>
        </row>
        <row r="76">
          <cell r="A76" t="str">
            <v>Contracted SPED - Non-Instruction</v>
          </cell>
          <cell r="B76">
            <v>0</v>
          </cell>
          <cell r="C76">
            <v>0</v>
          </cell>
          <cell r="D76">
            <v>0</v>
          </cell>
          <cell r="E76">
            <v>661</v>
          </cell>
          <cell r="F76">
            <v>2183</v>
          </cell>
          <cell r="G76">
            <v>1507</v>
          </cell>
          <cell r="H76">
            <v>2595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6946</v>
          </cell>
          <cell r="P76">
            <v>6946</v>
          </cell>
          <cell r="Q76">
            <v>0</v>
          </cell>
          <cell r="R76">
            <v>6946</v>
          </cell>
        </row>
        <row r="77">
          <cell r="A77" t="str">
            <v>Contracted Custodial Services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6390</v>
          </cell>
          <cell r="H77">
            <v>0</v>
          </cell>
          <cell r="I77">
            <v>1958.6666666666667</v>
          </cell>
          <cell r="J77">
            <v>1958.6666666666667</v>
          </cell>
          <cell r="K77">
            <v>1958.6666666666667</v>
          </cell>
          <cell r="L77">
            <v>1958.6666666666667</v>
          </cell>
          <cell r="M77">
            <v>1958.6666666666667</v>
          </cell>
          <cell r="N77">
            <v>16183.333333333334</v>
          </cell>
          <cell r="P77">
            <v>6390</v>
          </cell>
          <cell r="Q77">
            <v>9793.3333333333339</v>
          </cell>
          <cell r="R77">
            <v>16183.333333333334</v>
          </cell>
        </row>
        <row r="78">
          <cell r="A78" t="str">
            <v>Contracted Maintenance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B79">
            <v>244</v>
          </cell>
          <cell r="C79">
            <v>27675</v>
          </cell>
          <cell r="D79">
            <v>34000</v>
          </cell>
          <cell r="E79">
            <v>64080</v>
          </cell>
          <cell r="F79">
            <v>60763</v>
          </cell>
          <cell r="G79">
            <v>118203</v>
          </cell>
          <cell r="H79">
            <v>82653</v>
          </cell>
          <cell r="I79">
            <v>83065.909666666659</v>
          </cell>
          <cell r="J79">
            <v>90346.000666666674</v>
          </cell>
          <cell r="K79">
            <v>75785.818666666673</v>
          </cell>
          <cell r="L79">
            <v>85492.606666666674</v>
          </cell>
          <cell r="M79">
            <v>80639.212666666674</v>
          </cell>
          <cell r="N79">
            <v>802947.54833333334</v>
          </cell>
          <cell r="P79">
            <v>387618</v>
          </cell>
          <cell r="Q79">
            <v>415329.54833333328</v>
          </cell>
          <cell r="R79">
            <v>802947.54833333334</v>
          </cell>
        </row>
        <row r="81">
          <cell r="A81" t="str">
            <v>Administrative Expenses</v>
          </cell>
        </row>
        <row r="82">
          <cell r="A82" t="str">
            <v>Travel/Auto</v>
          </cell>
          <cell r="B82">
            <v>0</v>
          </cell>
          <cell r="C82">
            <v>0</v>
          </cell>
          <cell r="D82">
            <v>581</v>
          </cell>
          <cell r="E82">
            <v>350</v>
          </cell>
          <cell r="F82">
            <v>0</v>
          </cell>
          <cell r="G82">
            <v>0</v>
          </cell>
          <cell r="H82">
            <v>1385</v>
          </cell>
          <cell r="I82">
            <v>114</v>
          </cell>
          <cell r="J82">
            <v>114</v>
          </cell>
          <cell r="K82">
            <v>114</v>
          </cell>
          <cell r="L82">
            <v>114</v>
          </cell>
          <cell r="M82">
            <v>114</v>
          </cell>
          <cell r="N82">
            <v>2886</v>
          </cell>
          <cell r="P82">
            <v>2316</v>
          </cell>
          <cell r="Q82">
            <v>570</v>
          </cell>
          <cell r="R82">
            <v>2886</v>
          </cell>
        </row>
        <row r="83">
          <cell r="A83" t="str">
            <v>Airfare</v>
          </cell>
          <cell r="B83">
            <v>0</v>
          </cell>
          <cell r="C83">
            <v>285</v>
          </cell>
          <cell r="D83">
            <v>990</v>
          </cell>
          <cell r="E83">
            <v>0</v>
          </cell>
          <cell r="F83">
            <v>0</v>
          </cell>
          <cell r="G83">
            <v>-285</v>
          </cell>
          <cell r="H83">
            <v>149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1139</v>
          </cell>
          <cell r="P83">
            <v>1139</v>
          </cell>
          <cell r="Q83">
            <v>0</v>
          </cell>
          <cell r="R83">
            <v>1139</v>
          </cell>
        </row>
        <row r="84">
          <cell r="A84" t="str">
            <v>Meals</v>
          </cell>
          <cell r="B84">
            <v>0</v>
          </cell>
          <cell r="C84">
            <v>80</v>
          </cell>
          <cell r="D84">
            <v>277</v>
          </cell>
          <cell r="E84">
            <v>0</v>
          </cell>
          <cell r="F84">
            <v>0</v>
          </cell>
          <cell r="G84">
            <v>0</v>
          </cell>
          <cell r="H84">
            <v>72</v>
          </cell>
          <cell r="I84">
            <v>85.5</v>
          </cell>
          <cell r="J84">
            <v>85.5</v>
          </cell>
          <cell r="K84">
            <v>85.5</v>
          </cell>
          <cell r="L84">
            <v>85.5</v>
          </cell>
          <cell r="M84">
            <v>85.5</v>
          </cell>
          <cell r="N84">
            <v>856.5</v>
          </cell>
          <cell r="P84">
            <v>429</v>
          </cell>
          <cell r="Q84">
            <v>427.5</v>
          </cell>
          <cell r="R84">
            <v>856.5</v>
          </cell>
        </row>
        <row r="85">
          <cell r="A85" t="str">
            <v>Lodging</v>
          </cell>
          <cell r="B85">
            <v>0</v>
          </cell>
          <cell r="C85">
            <v>0</v>
          </cell>
          <cell r="D85">
            <v>698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142.5</v>
          </cell>
          <cell r="J85">
            <v>142.5</v>
          </cell>
          <cell r="K85">
            <v>142.5</v>
          </cell>
          <cell r="L85">
            <v>142.5</v>
          </cell>
          <cell r="M85">
            <v>142.5</v>
          </cell>
          <cell r="N85">
            <v>1410.5</v>
          </cell>
          <cell r="P85">
            <v>698</v>
          </cell>
          <cell r="Q85">
            <v>712.5</v>
          </cell>
          <cell r="R85">
            <v>1410.5</v>
          </cell>
        </row>
        <row r="86">
          <cell r="A86" t="str">
            <v>Business Expense - Other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Dues &amp; Subscriptions</v>
          </cell>
          <cell r="B87">
            <v>0</v>
          </cell>
          <cell r="C87">
            <v>0</v>
          </cell>
          <cell r="D87">
            <v>32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114</v>
          </cell>
          <cell r="J87">
            <v>114</v>
          </cell>
          <cell r="K87">
            <v>114</v>
          </cell>
          <cell r="L87">
            <v>114</v>
          </cell>
          <cell r="M87">
            <v>114</v>
          </cell>
          <cell r="N87">
            <v>602</v>
          </cell>
          <cell r="P87">
            <v>32</v>
          </cell>
          <cell r="Q87">
            <v>570</v>
          </cell>
          <cell r="R87">
            <v>602</v>
          </cell>
        </row>
        <row r="88">
          <cell r="A88" t="str">
            <v>Printing</v>
          </cell>
          <cell r="B88">
            <v>2315</v>
          </cell>
          <cell r="C88">
            <v>170</v>
          </cell>
          <cell r="D88">
            <v>0</v>
          </cell>
          <cell r="E88">
            <v>1349</v>
          </cell>
          <cell r="F88">
            <v>0</v>
          </cell>
          <cell r="G88">
            <v>0</v>
          </cell>
          <cell r="H88">
            <v>0</v>
          </cell>
          <cell r="I88">
            <v>1228.5</v>
          </cell>
          <cell r="J88">
            <v>1228.5</v>
          </cell>
          <cell r="K88">
            <v>1228.5</v>
          </cell>
          <cell r="L88">
            <v>1228.5</v>
          </cell>
          <cell r="M88">
            <v>1228.5</v>
          </cell>
          <cell r="N88">
            <v>9976.5</v>
          </cell>
          <cell r="P88">
            <v>3834</v>
          </cell>
          <cell r="Q88">
            <v>6142.5</v>
          </cell>
          <cell r="R88">
            <v>9976.5</v>
          </cell>
        </row>
        <row r="89">
          <cell r="A89" t="str">
            <v>Office Supplies</v>
          </cell>
          <cell r="B89">
            <v>1862</v>
          </cell>
          <cell r="C89">
            <v>2075</v>
          </cell>
          <cell r="D89">
            <v>4898</v>
          </cell>
          <cell r="E89">
            <v>7594</v>
          </cell>
          <cell r="F89">
            <v>1500</v>
          </cell>
          <cell r="G89">
            <v>9193</v>
          </cell>
          <cell r="H89">
            <v>723</v>
          </cell>
          <cell r="I89">
            <v>1456</v>
          </cell>
          <cell r="J89">
            <v>1456</v>
          </cell>
          <cell r="K89">
            <v>1456</v>
          </cell>
          <cell r="L89">
            <v>1456</v>
          </cell>
          <cell r="M89">
            <v>1456</v>
          </cell>
          <cell r="N89">
            <v>35125</v>
          </cell>
          <cell r="P89">
            <v>27845</v>
          </cell>
          <cell r="Q89">
            <v>7280</v>
          </cell>
          <cell r="R89">
            <v>35125</v>
          </cell>
        </row>
        <row r="90">
          <cell r="A90" t="str">
            <v>In-house Food Service - Cost of Food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 t="str">
            <v>Food Service - Paper and Smallwares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A92" t="str">
            <v>Medical Supplies</v>
          </cell>
          <cell r="B92">
            <v>0</v>
          </cell>
          <cell r="C92">
            <v>0</v>
          </cell>
          <cell r="D92">
            <v>0</v>
          </cell>
          <cell r="E92">
            <v>1201</v>
          </cell>
          <cell r="F92">
            <v>0</v>
          </cell>
          <cell r="G92">
            <v>196</v>
          </cell>
          <cell r="H92">
            <v>43</v>
          </cell>
          <cell r="I92">
            <v>204.75</v>
          </cell>
          <cell r="J92">
            <v>204.75</v>
          </cell>
          <cell r="K92">
            <v>204.75</v>
          </cell>
          <cell r="L92">
            <v>204.75</v>
          </cell>
          <cell r="M92">
            <v>204.75</v>
          </cell>
          <cell r="N92">
            <v>2463.75</v>
          </cell>
          <cell r="P92">
            <v>1440</v>
          </cell>
          <cell r="Q92">
            <v>1023.75</v>
          </cell>
          <cell r="R92">
            <v>2463.75</v>
          </cell>
        </row>
        <row r="93">
          <cell r="B93">
            <v>4177</v>
          </cell>
          <cell r="C93">
            <v>2610</v>
          </cell>
          <cell r="D93">
            <v>7476</v>
          </cell>
          <cell r="E93">
            <v>10494</v>
          </cell>
          <cell r="F93">
            <v>1500</v>
          </cell>
          <cell r="G93">
            <v>9104</v>
          </cell>
          <cell r="H93">
            <v>2372</v>
          </cell>
          <cell r="I93">
            <v>3345.25</v>
          </cell>
          <cell r="J93">
            <v>3345.25</v>
          </cell>
          <cell r="K93">
            <v>3345.25</v>
          </cell>
          <cell r="L93">
            <v>3345.25</v>
          </cell>
          <cell r="M93">
            <v>3345.25</v>
          </cell>
          <cell r="N93">
            <v>54459.25</v>
          </cell>
          <cell r="P93">
            <v>37733</v>
          </cell>
          <cell r="Q93">
            <v>16726.25</v>
          </cell>
          <cell r="R93">
            <v>54459.25</v>
          </cell>
        </row>
        <row r="95">
          <cell r="A95" t="str">
            <v>Instruction Expense</v>
          </cell>
        </row>
        <row r="96">
          <cell r="A96" t="str">
            <v>Textbooks</v>
          </cell>
          <cell r="B96">
            <v>0</v>
          </cell>
          <cell r="C96">
            <v>347</v>
          </cell>
          <cell r="D96">
            <v>0</v>
          </cell>
          <cell r="E96">
            <v>389</v>
          </cell>
          <cell r="F96">
            <v>0</v>
          </cell>
          <cell r="G96">
            <v>0</v>
          </cell>
          <cell r="H96">
            <v>501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1237</v>
          </cell>
          <cell r="P96">
            <v>1237</v>
          </cell>
          <cell r="Q96">
            <v>0</v>
          </cell>
          <cell r="R96">
            <v>1237</v>
          </cell>
        </row>
        <row r="97">
          <cell r="A97" t="str">
            <v>Library &amp; Reference Books</v>
          </cell>
          <cell r="B97">
            <v>1610</v>
          </cell>
          <cell r="C97">
            <v>0</v>
          </cell>
          <cell r="D97">
            <v>0</v>
          </cell>
          <cell r="E97">
            <v>132</v>
          </cell>
          <cell r="F97">
            <v>312</v>
          </cell>
          <cell r="G97">
            <v>333</v>
          </cell>
          <cell r="H97">
            <v>715</v>
          </cell>
          <cell r="I97">
            <v>156.97499999999999</v>
          </cell>
          <cell r="J97">
            <v>156.97499999999999</v>
          </cell>
          <cell r="K97">
            <v>156.97499999999999</v>
          </cell>
          <cell r="L97">
            <v>156.97499999999999</v>
          </cell>
          <cell r="M97">
            <v>156.97499999999999</v>
          </cell>
          <cell r="N97">
            <v>3886.875</v>
          </cell>
          <cell r="P97">
            <v>3102</v>
          </cell>
          <cell r="Q97">
            <v>784.875</v>
          </cell>
          <cell r="R97">
            <v>3886.875</v>
          </cell>
        </row>
        <row r="98">
          <cell r="A98" t="str">
            <v>Other Publications</v>
          </cell>
          <cell r="B98">
            <v>0</v>
          </cell>
          <cell r="C98">
            <v>54</v>
          </cell>
          <cell r="D98">
            <v>2391</v>
          </cell>
          <cell r="E98">
            <v>1541</v>
          </cell>
          <cell r="F98">
            <v>0</v>
          </cell>
          <cell r="G98">
            <v>238</v>
          </cell>
          <cell r="H98">
            <v>0</v>
          </cell>
          <cell r="I98">
            <v>91</v>
          </cell>
          <cell r="J98">
            <v>91</v>
          </cell>
          <cell r="K98">
            <v>91</v>
          </cell>
          <cell r="L98">
            <v>91</v>
          </cell>
          <cell r="M98">
            <v>91</v>
          </cell>
          <cell r="N98">
            <v>4679</v>
          </cell>
          <cell r="P98">
            <v>4224</v>
          </cell>
          <cell r="Q98">
            <v>455</v>
          </cell>
          <cell r="R98">
            <v>4679</v>
          </cell>
        </row>
        <row r="99">
          <cell r="A99" t="str">
            <v>Instructional Supplies</v>
          </cell>
          <cell r="B99">
            <v>122</v>
          </cell>
          <cell r="C99">
            <v>2107</v>
          </cell>
          <cell r="D99">
            <v>1944</v>
          </cell>
          <cell r="E99">
            <v>3834</v>
          </cell>
          <cell r="F99">
            <v>2475</v>
          </cell>
          <cell r="G99">
            <v>2484</v>
          </cell>
          <cell r="H99">
            <v>2043</v>
          </cell>
          <cell r="I99">
            <v>350</v>
          </cell>
          <cell r="J99">
            <v>350</v>
          </cell>
          <cell r="K99">
            <v>350</v>
          </cell>
          <cell r="L99">
            <v>350</v>
          </cell>
          <cell r="M99">
            <v>350</v>
          </cell>
          <cell r="N99">
            <v>16759</v>
          </cell>
          <cell r="P99">
            <v>15009</v>
          </cell>
          <cell r="Q99">
            <v>1750</v>
          </cell>
          <cell r="R99">
            <v>16759</v>
          </cell>
        </row>
        <row r="100">
          <cell r="A100" t="str">
            <v>Sporting Goods</v>
          </cell>
          <cell r="B100">
            <v>0</v>
          </cell>
          <cell r="C100">
            <v>0</v>
          </cell>
          <cell r="D100">
            <v>758</v>
          </cell>
          <cell r="E100">
            <v>0</v>
          </cell>
          <cell r="F100">
            <v>1198</v>
          </cell>
          <cell r="G100">
            <v>203</v>
          </cell>
          <cell r="H100">
            <v>0</v>
          </cell>
          <cell r="I100">
            <v>72.8</v>
          </cell>
          <cell r="J100">
            <v>72.8</v>
          </cell>
          <cell r="K100">
            <v>72.8</v>
          </cell>
          <cell r="L100">
            <v>72.8</v>
          </cell>
          <cell r="M100">
            <v>72.8</v>
          </cell>
          <cell r="N100">
            <v>2523</v>
          </cell>
          <cell r="P100">
            <v>2159</v>
          </cell>
          <cell r="Q100">
            <v>364</v>
          </cell>
          <cell r="R100">
            <v>2523</v>
          </cell>
        </row>
        <row r="101">
          <cell r="B101">
            <v>1732</v>
          </cell>
          <cell r="C101">
            <v>2508</v>
          </cell>
          <cell r="D101">
            <v>5093</v>
          </cell>
          <cell r="E101">
            <v>5896</v>
          </cell>
          <cell r="F101">
            <v>3985</v>
          </cell>
          <cell r="G101">
            <v>3258</v>
          </cell>
          <cell r="H101">
            <v>3259</v>
          </cell>
          <cell r="I101">
            <v>670.77499999999998</v>
          </cell>
          <cell r="J101">
            <v>670.77499999999998</v>
          </cell>
          <cell r="K101">
            <v>670.77499999999998</v>
          </cell>
          <cell r="L101">
            <v>670.77499999999998</v>
          </cell>
          <cell r="M101">
            <v>670.77499999999998</v>
          </cell>
          <cell r="N101">
            <v>29084.875</v>
          </cell>
          <cell r="P101">
            <v>25731</v>
          </cell>
          <cell r="Q101">
            <v>3353.875</v>
          </cell>
          <cell r="R101">
            <v>29084.875</v>
          </cell>
        </row>
        <row r="103">
          <cell r="A103" t="str">
            <v>Other Operating Expenses</v>
          </cell>
        </row>
        <row r="104">
          <cell r="A104" t="str">
            <v>Telephone</v>
          </cell>
          <cell r="B104">
            <v>1200</v>
          </cell>
          <cell r="C104">
            <v>1255</v>
          </cell>
          <cell r="D104">
            <v>2791</v>
          </cell>
          <cell r="E104">
            <v>1381</v>
          </cell>
          <cell r="F104">
            <v>1200</v>
          </cell>
          <cell r="G104">
            <v>770</v>
          </cell>
          <cell r="H104">
            <v>2614</v>
          </cell>
          <cell r="I104">
            <v>950</v>
          </cell>
          <cell r="J104">
            <v>950</v>
          </cell>
          <cell r="K104">
            <v>950</v>
          </cell>
          <cell r="L104">
            <v>950</v>
          </cell>
          <cell r="M104">
            <v>950</v>
          </cell>
          <cell r="N104">
            <v>15961</v>
          </cell>
          <cell r="P104">
            <v>11211</v>
          </cell>
          <cell r="Q104">
            <v>4750</v>
          </cell>
          <cell r="R104">
            <v>15961</v>
          </cell>
        </row>
        <row r="105">
          <cell r="A105" t="str">
            <v>Postage</v>
          </cell>
          <cell r="B105">
            <v>242</v>
          </cell>
          <cell r="C105">
            <v>142</v>
          </cell>
          <cell r="D105">
            <v>815</v>
          </cell>
          <cell r="E105">
            <v>439</v>
          </cell>
          <cell r="F105">
            <v>15</v>
          </cell>
          <cell r="G105">
            <v>0</v>
          </cell>
          <cell r="H105">
            <v>0</v>
          </cell>
          <cell r="I105">
            <v>273</v>
          </cell>
          <cell r="J105">
            <v>273</v>
          </cell>
          <cell r="K105">
            <v>273</v>
          </cell>
          <cell r="L105">
            <v>273</v>
          </cell>
          <cell r="M105">
            <v>273</v>
          </cell>
          <cell r="N105">
            <v>3018</v>
          </cell>
          <cell r="P105">
            <v>1653</v>
          </cell>
          <cell r="Q105">
            <v>1365</v>
          </cell>
          <cell r="R105">
            <v>3018</v>
          </cell>
        </row>
        <row r="106">
          <cell r="A106" t="str">
            <v>Express Mail</v>
          </cell>
          <cell r="B106">
            <v>71</v>
          </cell>
          <cell r="C106">
            <v>0</v>
          </cell>
          <cell r="D106">
            <v>130</v>
          </cell>
          <cell r="E106">
            <v>6</v>
          </cell>
          <cell r="F106">
            <v>0</v>
          </cell>
          <cell r="G106">
            <v>0</v>
          </cell>
          <cell r="H106">
            <v>52</v>
          </cell>
          <cell r="I106">
            <v>163.80000000000001</v>
          </cell>
          <cell r="J106">
            <v>163.80000000000001</v>
          </cell>
          <cell r="K106">
            <v>163.80000000000001</v>
          </cell>
          <cell r="L106">
            <v>163.80000000000001</v>
          </cell>
          <cell r="M106">
            <v>163.80000000000001</v>
          </cell>
          <cell r="N106">
            <v>1078</v>
          </cell>
          <cell r="P106">
            <v>259</v>
          </cell>
          <cell r="Q106">
            <v>819</v>
          </cell>
          <cell r="R106">
            <v>1078</v>
          </cell>
        </row>
        <row r="107">
          <cell r="A107" t="str">
            <v>Electricity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 t="str">
            <v>Gas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 t="str">
            <v>Water &amp; Sewer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A110" t="str">
            <v>Waste Disposal</v>
          </cell>
          <cell r="B110">
            <v>0</v>
          </cell>
          <cell r="C110">
            <v>115</v>
          </cell>
          <cell r="D110">
            <v>292</v>
          </cell>
          <cell r="E110">
            <v>226</v>
          </cell>
          <cell r="F110">
            <v>232</v>
          </cell>
          <cell r="G110">
            <v>235</v>
          </cell>
          <cell r="H110">
            <v>496</v>
          </cell>
          <cell r="I110">
            <v>226</v>
          </cell>
          <cell r="J110">
            <v>226</v>
          </cell>
          <cell r="K110">
            <v>226</v>
          </cell>
          <cell r="L110">
            <v>226</v>
          </cell>
          <cell r="M110">
            <v>226</v>
          </cell>
          <cell r="N110">
            <v>2726</v>
          </cell>
          <cell r="P110">
            <v>1596</v>
          </cell>
          <cell r="Q110">
            <v>1130</v>
          </cell>
          <cell r="R110">
            <v>2726</v>
          </cell>
        </row>
        <row r="111">
          <cell r="A111" t="str">
            <v>Security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74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74</v>
          </cell>
          <cell r="P111">
            <v>74</v>
          </cell>
          <cell r="Q111">
            <v>0</v>
          </cell>
          <cell r="R111">
            <v>74</v>
          </cell>
        </row>
        <row r="112">
          <cell r="A112" t="str">
            <v>Uniform &amp; Laundry Expenses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 t="str">
            <v>Maintenance Supplies</v>
          </cell>
          <cell r="B113">
            <v>0</v>
          </cell>
          <cell r="C113">
            <v>276</v>
          </cell>
          <cell r="D113">
            <v>115</v>
          </cell>
          <cell r="E113">
            <v>684</v>
          </cell>
          <cell r="F113">
            <v>0</v>
          </cell>
          <cell r="G113">
            <v>1066</v>
          </cell>
          <cell r="H113">
            <v>750</v>
          </cell>
          <cell r="I113">
            <v>450</v>
          </cell>
          <cell r="J113">
            <v>450</v>
          </cell>
          <cell r="K113">
            <v>450</v>
          </cell>
          <cell r="L113">
            <v>450</v>
          </cell>
          <cell r="M113">
            <v>450</v>
          </cell>
          <cell r="N113">
            <v>5141</v>
          </cell>
          <cell r="P113">
            <v>2891</v>
          </cell>
          <cell r="Q113">
            <v>2250</v>
          </cell>
          <cell r="R113">
            <v>5141</v>
          </cell>
        </row>
        <row r="114">
          <cell r="A114" t="str">
            <v>Building Repairs &amp; Maintenance</v>
          </cell>
          <cell r="B114">
            <v>0</v>
          </cell>
          <cell r="C114">
            <v>276</v>
          </cell>
          <cell r="D114">
            <v>923</v>
          </cell>
          <cell r="E114">
            <v>1443</v>
          </cell>
          <cell r="F114">
            <v>905</v>
          </cell>
          <cell r="G114">
            <v>-5</v>
          </cell>
          <cell r="H114">
            <v>96</v>
          </cell>
          <cell r="I114">
            <v>391.38249999999999</v>
          </cell>
          <cell r="J114">
            <v>391.38249999999999</v>
          </cell>
          <cell r="K114">
            <v>391.38249999999999</v>
          </cell>
          <cell r="L114">
            <v>391.38249999999999</v>
          </cell>
          <cell r="M114">
            <v>391.38249999999999</v>
          </cell>
          <cell r="N114">
            <v>5594.9125000000004</v>
          </cell>
          <cell r="P114">
            <v>3638</v>
          </cell>
          <cell r="Q114">
            <v>1956.9124999999999</v>
          </cell>
          <cell r="R114">
            <v>5594.9125000000004</v>
          </cell>
        </row>
        <row r="115">
          <cell r="A115" t="str">
            <v>Equipment Repairs &amp; Maintenance</v>
          </cell>
          <cell r="B115">
            <v>0</v>
          </cell>
          <cell r="C115">
            <v>617</v>
          </cell>
          <cell r="D115">
            <v>1040</v>
          </cell>
          <cell r="E115">
            <v>50</v>
          </cell>
          <cell r="F115">
            <v>1854</v>
          </cell>
          <cell r="G115">
            <v>200</v>
          </cell>
          <cell r="H115">
            <v>174</v>
          </cell>
          <cell r="I115">
            <v>682.5</v>
          </cell>
          <cell r="J115">
            <v>682.5</v>
          </cell>
          <cell r="K115">
            <v>682.5</v>
          </cell>
          <cell r="L115">
            <v>682.5</v>
          </cell>
          <cell r="M115">
            <v>682.5</v>
          </cell>
          <cell r="N115">
            <v>7347.5</v>
          </cell>
          <cell r="P115">
            <v>3935</v>
          </cell>
          <cell r="Q115">
            <v>3412.5</v>
          </cell>
          <cell r="R115">
            <v>7347.5</v>
          </cell>
        </row>
        <row r="116">
          <cell r="A116" t="str">
            <v>Computer Repairs &amp; Maintenance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40</v>
          </cell>
          <cell r="G116">
            <v>0</v>
          </cell>
          <cell r="H116">
            <v>799</v>
          </cell>
          <cell r="I116">
            <v>227.5</v>
          </cell>
          <cell r="J116">
            <v>227.5</v>
          </cell>
          <cell r="K116">
            <v>227.5</v>
          </cell>
          <cell r="L116">
            <v>227.5</v>
          </cell>
          <cell r="M116">
            <v>227.5</v>
          </cell>
          <cell r="N116">
            <v>1976.5</v>
          </cell>
          <cell r="P116">
            <v>839</v>
          </cell>
          <cell r="Q116">
            <v>1137.5</v>
          </cell>
          <cell r="R116">
            <v>1976.5</v>
          </cell>
        </row>
        <row r="117">
          <cell r="A117" t="str">
            <v>Miscellaneous Expenses</v>
          </cell>
          <cell r="B117">
            <v>0</v>
          </cell>
          <cell r="C117">
            <v>2077</v>
          </cell>
          <cell r="D117">
            <v>1185</v>
          </cell>
          <cell r="E117">
            <v>-261</v>
          </cell>
          <cell r="F117">
            <v>1327</v>
          </cell>
          <cell r="G117">
            <v>499</v>
          </cell>
          <cell r="H117">
            <v>305</v>
          </cell>
          <cell r="I117">
            <v>182</v>
          </cell>
          <cell r="J117">
            <v>182</v>
          </cell>
          <cell r="K117">
            <v>182</v>
          </cell>
          <cell r="L117">
            <v>182</v>
          </cell>
          <cell r="M117">
            <v>182</v>
          </cell>
          <cell r="N117">
            <v>6042</v>
          </cell>
          <cell r="P117">
            <v>5132</v>
          </cell>
          <cell r="Q117">
            <v>910</v>
          </cell>
          <cell r="R117">
            <v>6042</v>
          </cell>
        </row>
        <row r="118">
          <cell r="B118">
            <v>1513</v>
          </cell>
          <cell r="C118">
            <v>4758</v>
          </cell>
          <cell r="D118">
            <v>7291</v>
          </cell>
          <cell r="E118">
            <v>3968</v>
          </cell>
          <cell r="F118">
            <v>5573</v>
          </cell>
          <cell r="G118">
            <v>2839</v>
          </cell>
          <cell r="H118">
            <v>5286</v>
          </cell>
          <cell r="I118">
            <v>3546.1825000000003</v>
          </cell>
          <cell r="J118">
            <v>3546.1825000000003</v>
          </cell>
          <cell r="K118">
            <v>3546.1825000000003</v>
          </cell>
          <cell r="L118">
            <v>3546.1825000000003</v>
          </cell>
          <cell r="M118">
            <v>3546.1825000000003</v>
          </cell>
          <cell r="N118">
            <v>48958.912500000006</v>
          </cell>
          <cell r="P118">
            <v>31228</v>
          </cell>
          <cell r="Q118">
            <v>17730.912499999999</v>
          </cell>
          <cell r="R118">
            <v>48958.912499999999</v>
          </cell>
        </row>
        <row r="120">
          <cell r="A120" t="str">
            <v>Profit After Operating Expenses</v>
          </cell>
          <cell r="B120">
            <v>165740</v>
          </cell>
          <cell r="C120">
            <v>83279</v>
          </cell>
          <cell r="D120">
            <v>-97319</v>
          </cell>
          <cell r="E120">
            <v>-25686</v>
          </cell>
          <cell r="F120">
            <v>-10355.340000000026</v>
          </cell>
          <cell r="G120">
            <v>-36558.840000000026</v>
          </cell>
          <cell r="H120">
            <v>-63085</v>
          </cell>
          <cell r="I120">
            <v>-3348.0476733332907</v>
          </cell>
          <cell r="J120">
            <v>-8324.5537533333118</v>
          </cell>
          <cell r="K120">
            <v>2908.4584066667303</v>
          </cell>
          <cell r="L120">
            <v>-18126.898633333272</v>
          </cell>
          <cell r="M120">
            <v>2190.7876866667357</v>
          </cell>
          <cell r="N120">
            <v>-8685.43396666646</v>
          </cell>
          <cell r="P120">
            <v>16014.819999999832</v>
          </cell>
          <cell r="Q120">
            <v>-24700.253966666547</v>
          </cell>
          <cell r="R120">
            <v>-8685.4339666668311</v>
          </cell>
        </row>
        <row r="122">
          <cell r="A122" t="str">
            <v>Fixed Expense</v>
          </cell>
        </row>
        <row r="123">
          <cell r="A123" t="str">
            <v>Rent Expense</v>
          </cell>
          <cell r="B123">
            <v>39367.777777777781</v>
          </cell>
          <cell r="C123">
            <v>39367.777777777781</v>
          </cell>
          <cell r="D123">
            <v>39367.777777777781</v>
          </cell>
          <cell r="E123">
            <v>44063</v>
          </cell>
          <cell r="F123">
            <v>39367.777777777781</v>
          </cell>
          <cell r="G123">
            <v>34673</v>
          </cell>
          <cell r="H123">
            <v>39368</v>
          </cell>
          <cell r="I123">
            <v>39367.777777777781</v>
          </cell>
          <cell r="J123">
            <v>39367.777777777781</v>
          </cell>
          <cell r="K123">
            <v>39367.777777777781</v>
          </cell>
          <cell r="L123">
            <v>39367.777777777781</v>
          </cell>
          <cell r="M123">
            <v>39367.777777777781</v>
          </cell>
          <cell r="N123">
            <v>472413.99999999988</v>
          </cell>
          <cell r="P123">
            <v>275575.11111111112</v>
          </cell>
          <cell r="Q123">
            <v>196838.88888888891</v>
          </cell>
          <cell r="R123">
            <v>472414</v>
          </cell>
        </row>
        <row r="124">
          <cell r="A124" t="str">
            <v>CAM, TMI &amp; Merchant Assoc. Dues</v>
          </cell>
          <cell r="B124">
            <v>17499.937499999996</v>
          </cell>
          <cell r="C124">
            <v>17499.937499999996</v>
          </cell>
          <cell r="D124">
            <v>34065</v>
          </cell>
          <cell r="E124">
            <v>26217</v>
          </cell>
          <cell r="F124">
            <v>26217</v>
          </cell>
          <cell r="G124">
            <v>9587</v>
          </cell>
          <cell r="H124">
            <v>0</v>
          </cell>
          <cell r="I124">
            <v>26218</v>
          </cell>
          <cell r="J124">
            <v>26218</v>
          </cell>
          <cell r="K124">
            <v>26218</v>
          </cell>
          <cell r="L124">
            <v>26218</v>
          </cell>
          <cell r="M124">
            <v>26218</v>
          </cell>
          <cell r="N124">
            <v>262175.875</v>
          </cell>
          <cell r="P124">
            <v>131085.875</v>
          </cell>
          <cell r="Q124">
            <v>131090</v>
          </cell>
          <cell r="R124">
            <v>262175.875</v>
          </cell>
        </row>
        <row r="125">
          <cell r="A125" t="str">
            <v>Property &amp; Rent Taxes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</row>
        <row r="126">
          <cell r="A126" t="str">
            <v>Leasing Expense</v>
          </cell>
          <cell r="B126">
            <v>10085</v>
          </cell>
          <cell r="C126">
            <v>10085</v>
          </cell>
          <cell r="D126">
            <v>11446</v>
          </cell>
          <cell r="E126">
            <v>10685</v>
          </cell>
          <cell r="F126">
            <v>10385</v>
          </cell>
          <cell r="G126">
            <v>13409</v>
          </cell>
          <cell r="H126">
            <v>6643</v>
          </cell>
          <cell r="I126">
            <v>10777.64</v>
          </cell>
          <cell r="J126">
            <v>10777.64</v>
          </cell>
          <cell r="K126">
            <v>10777.64</v>
          </cell>
          <cell r="L126">
            <v>10777.64</v>
          </cell>
          <cell r="M126">
            <v>10777.64</v>
          </cell>
          <cell r="N126">
            <v>126626.2</v>
          </cell>
          <cell r="P126">
            <v>72738</v>
          </cell>
          <cell r="Q126">
            <v>53888.2</v>
          </cell>
          <cell r="R126">
            <v>126626.2</v>
          </cell>
        </row>
        <row r="127">
          <cell r="A127" t="str">
            <v>Property &amp; Prof. Liab Insurance</v>
          </cell>
          <cell r="B127">
            <v>1333</v>
          </cell>
          <cell r="C127">
            <v>1333</v>
          </cell>
          <cell r="D127">
            <v>1333</v>
          </cell>
          <cell r="E127">
            <v>-1903</v>
          </cell>
          <cell r="F127">
            <v>524</v>
          </cell>
          <cell r="G127">
            <v>522</v>
          </cell>
          <cell r="H127">
            <v>524</v>
          </cell>
          <cell r="I127">
            <v>1400</v>
          </cell>
          <cell r="J127">
            <v>1400</v>
          </cell>
          <cell r="K127">
            <v>1400</v>
          </cell>
          <cell r="L127">
            <v>1400</v>
          </cell>
          <cell r="M127">
            <v>1400</v>
          </cell>
          <cell r="N127">
            <v>10666</v>
          </cell>
          <cell r="P127">
            <v>3666</v>
          </cell>
          <cell r="Q127">
            <v>7000</v>
          </cell>
          <cell r="R127">
            <v>10666</v>
          </cell>
        </row>
        <row r="128">
          <cell r="A128" t="str">
            <v>Interest Expense / (Income)</v>
          </cell>
          <cell r="B128">
            <v>476.12097754913333</v>
          </cell>
          <cell r="C128">
            <v>476</v>
          </cell>
          <cell r="D128">
            <v>1652</v>
          </cell>
          <cell r="E128">
            <v>476</v>
          </cell>
          <cell r="F128">
            <v>623</v>
          </cell>
          <cell r="G128">
            <v>471</v>
          </cell>
          <cell r="H128">
            <v>470</v>
          </cell>
          <cell r="I128">
            <v>469</v>
          </cell>
          <cell r="J128">
            <v>468</v>
          </cell>
          <cell r="K128">
            <v>466</v>
          </cell>
          <cell r="L128">
            <v>465</v>
          </cell>
          <cell r="M128">
            <v>464</v>
          </cell>
          <cell r="N128">
            <v>6976.1209775491334</v>
          </cell>
          <cell r="P128">
            <v>4644.1209775491334</v>
          </cell>
          <cell r="Q128">
            <v>2332</v>
          </cell>
          <cell r="R128">
            <v>6976.1209775491334</v>
          </cell>
        </row>
        <row r="129">
          <cell r="A129" t="str">
            <v>Depreciation</v>
          </cell>
          <cell r="B129">
            <v>362</v>
          </cell>
          <cell r="C129">
            <v>362</v>
          </cell>
          <cell r="D129">
            <v>2309</v>
          </cell>
          <cell r="E129">
            <v>362</v>
          </cell>
          <cell r="F129">
            <v>4063</v>
          </cell>
          <cell r="G129">
            <v>4702</v>
          </cell>
          <cell r="H129">
            <v>3924</v>
          </cell>
          <cell r="I129">
            <v>8000</v>
          </cell>
          <cell r="J129">
            <v>8000</v>
          </cell>
          <cell r="K129">
            <v>8000</v>
          </cell>
          <cell r="L129">
            <v>8000</v>
          </cell>
          <cell r="M129">
            <v>8000</v>
          </cell>
          <cell r="N129">
            <v>56084</v>
          </cell>
          <cell r="P129">
            <v>16084</v>
          </cell>
          <cell r="Q129">
            <v>40000</v>
          </cell>
          <cell r="R129">
            <v>56084</v>
          </cell>
        </row>
        <row r="130">
          <cell r="A130" t="str">
            <v>Amortization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B131">
            <v>69123.836255326911</v>
          </cell>
          <cell r="C131">
            <v>69123.715277777781</v>
          </cell>
          <cell r="D131">
            <v>90172.777777777781</v>
          </cell>
          <cell r="E131">
            <v>79900</v>
          </cell>
          <cell r="F131">
            <v>81179.777777777781</v>
          </cell>
          <cell r="G131">
            <v>63364</v>
          </cell>
          <cell r="H131">
            <v>50929</v>
          </cell>
          <cell r="I131">
            <v>86232.41777777778</v>
          </cell>
          <cell r="J131">
            <v>86231.41777777778</v>
          </cell>
          <cell r="K131">
            <v>86229.41777777778</v>
          </cell>
          <cell r="L131">
            <v>86228.41777777778</v>
          </cell>
          <cell r="M131">
            <v>86227.41777777778</v>
          </cell>
          <cell r="N131">
            <v>934942.19597754907</v>
          </cell>
          <cell r="P131">
            <v>503793.10708866024</v>
          </cell>
          <cell r="Q131">
            <v>431149.08888888889</v>
          </cell>
          <cell r="R131">
            <v>934942.19597754907</v>
          </cell>
        </row>
        <row r="133">
          <cell r="A133" t="str">
            <v>Profit before Taxes</v>
          </cell>
          <cell r="B133">
            <v>96616.163744673089</v>
          </cell>
          <cell r="C133">
            <v>14155.284722222219</v>
          </cell>
          <cell r="D133">
            <v>-187491.77777777778</v>
          </cell>
          <cell r="E133">
            <v>-105586</v>
          </cell>
          <cell r="F133">
            <v>-91535.117777777807</v>
          </cell>
          <cell r="G133">
            <v>-99922.840000000026</v>
          </cell>
          <cell r="H133">
            <v>-114014</v>
          </cell>
          <cell r="I133">
            <v>-89580.465451111071</v>
          </cell>
          <cell r="J133">
            <v>-94555.971531111092</v>
          </cell>
          <cell r="K133">
            <v>-83320.95937111105</v>
          </cell>
          <cell r="L133">
            <v>-104355.31641111105</v>
          </cell>
          <cell r="M133">
            <v>-84036.630091111045</v>
          </cell>
          <cell r="N133">
            <v>-943627.62994421553</v>
          </cell>
          <cell r="P133">
            <v>-487778.28708866041</v>
          </cell>
          <cell r="Q133">
            <v>-455849.34285555541</v>
          </cell>
          <cell r="R133">
            <v>-943627.62994421588</v>
          </cell>
        </row>
        <row r="135">
          <cell r="A135" t="str">
            <v>Other Income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-97</v>
          </cell>
          <cell r="H135">
            <v>-811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-908</v>
          </cell>
          <cell r="P135">
            <v>-908</v>
          </cell>
          <cell r="Q135">
            <v>0</v>
          </cell>
          <cell r="R135">
            <v>-908</v>
          </cell>
        </row>
        <row r="137">
          <cell r="A137" t="str">
            <v>Net Income/(Loss)</v>
          </cell>
          <cell r="B137">
            <v>96616.163744673089</v>
          </cell>
          <cell r="C137">
            <v>14155.284722222219</v>
          </cell>
          <cell r="D137">
            <v>-187491.77777777778</v>
          </cell>
          <cell r="E137">
            <v>-105586</v>
          </cell>
          <cell r="F137">
            <v>-91535.117777777807</v>
          </cell>
          <cell r="G137">
            <v>-99825.840000000026</v>
          </cell>
          <cell r="H137">
            <v>-113203</v>
          </cell>
          <cell r="I137">
            <v>-89580.465451111071</v>
          </cell>
          <cell r="J137">
            <v>-94555.971531111092</v>
          </cell>
          <cell r="K137">
            <v>-83320.95937111105</v>
          </cell>
          <cell r="L137">
            <v>-104355.31641111105</v>
          </cell>
          <cell r="M137">
            <v>-84036.630091111045</v>
          </cell>
          <cell r="N137">
            <v>-942719.62994421553</v>
          </cell>
          <cell r="P137">
            <v>-486870.28708866041</v>
          </cell>
          <cell r="Q137">
            <v>-455849.34285555541</v>
          </cell>
          <cell r="R137">
            <v>-942719.62994421588</v>
          </cell>
        </row>
        <row r="139">
          <cell r="A139" t="str">
            <v>Add back ASI Management Fee</v>
          </cell>
          <cell r="B139">
            <v>58283</v>
          </cell>
          <cell r="C139">
            <v>63568</v>
          </cell>
          <cell r="D139">
            <v>83551</v>
          </cell>
          <cell r="E139">
            <v>73313</v>
          </cell>
          <cell r="F139">
            <v>71865</v>
          </cell>
          <cell r="G139">
            <v>74859</v>
          </cell>
          <cell r="H139">
            <v>73875</v>
          </cell>
          <cell r="I139">
            <v>74690.07084</v>
          </cell>
          <cell r="J139">
            <v>75339.799920000005</v>
          </cell>
          <cell r="K139">
            <v>75140.34176000001</v>
          </cell>
          <cell r="L139">
            <v>74906.642800000001</v>
          </cell>
          <cell r="M139">
            <v>79973.494480000008</v>
          </cell>
          <cell r="N139">
            <v>879364.34979999997</v>
          </cell>
          <cell r="P139">
            <v>499314</v>
          </cell>
          <cell r="Q139">
            <v>380050.34980000003</v>
          </cell>
          <cell r="R139">
            <v>879364.34979999997</v>
          </cell>
        </row>
        <row r="141">
          <cell r="A141" t="str">
            <v>Net Income Before ASI Fee</v>
          </cell>
          <cell r="B141">
            <v>154899.16374467307</v>
          </cell>
          <cell r="C141">
            <v>77723.284722222219</v>
          </cell>
          <cell r="D141">
            <v>-103940.77777777778</v>
          </cell>
          <cell r="E141">
            <v>-32273</v>
          </cell>
          <cell r="F141">
            <v>-19670.117777777807</v>
          </cell>
          <cell r="G141">
            <v>-24966.840000000026</v>
          </cell>
          <cell r="H141">
            <v>-39328</v>
          </cell>
          <cell r="I141">
            <v>-14890.394611111071</v>
          </cell>
          <cell r="J141">
            <v>-19216.171611111087</v>
          </cell>
          <cell r="K141">
            <v>-8180.6176111110399</v>
          </cell>
          <cell r="L141">
            <v>-29448.673611111051</v>
          </cell>
          <cell r="M141">
            <v>-4063.1356111110363</v>
          </cell>
          <cell r="N141">
            <v>-63355.280144215591</v>
          </cell>
          <cell r="P141">
            <v>12443.712911339593</v>
          </cell>
          <cell r="Q141">
            <v>-75798.993055555387</v>
          </cell>
          <cell r="R141">
            <v>-63355.280144215911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0"/>
  <sheetViews>
    <sheetView topLeftCell="E1" zoomScaleNormal="100" workbookViewId="0">
      <selection activeCell="F20" sqref="F20"/>
    </sheetView>
  </sheetViews>
  <sheetFormatPr defaultColWidth="9.109375" defaultRowHeight="13.2" outlineLevelRow="2" x14ac:dyDescent="0.25"/>
  <cols>
    <col min="1" max="3" width="6" style="5" hidden="1" customWidth="1"/>
    <col min="4" max="4" width="4" style="5" hidden="1" customWidth="1"/>
    <col min="5" max="5" width="25.33203125" style="5" customWidth="1"/>
    <col min="6" max="6" width="55.6640625" style="2" customWidth="1"/>
    <col min="7" max="7" width="12.6640625" style="29" customWidth="1"/>
    <col min="8" max="8" width="9.109375" style="2"/>
    <col min="9" max="9" width="11.109375" style="2" customWidth="1"/>
    <col min="10" max="16384" width="9.109375" style="2"/>
  </cols>
  <sheetData>
    <row r="1" spans="1:7" x14ac:dyDescent="0.25">
      <c r="A1" s="170" t="s">
        <v>169</v>
      </c>
      <c r="B1" s="170"/>
      <c r="C1" s="170"/>
      <c r="D1" s="170"/>
      <c r="E1" s="170"/>
      <c r="F1" s="170"/>
      <c r="G1" s="170"/>
    </row>
    <row r="2" spans="1:7" s="3" customFormat="1" x14ac:dyDescent="0.25">
      <c r="A2" s="170" t="s">
        <v>168</v>
      </c>
      <c r="B2" s="170"/>
      <c r="C2" s="170"/>
      <c r="D2" s="170"/>
      <c r="E2" s="170"/>
      <c r="F2" s="170"/>
      <c r="G2" s="170"/>
    </row>
    <row r="3" spans="1:7" s="3" customFormat="1" x14ac:dyDescent="0.25">
      <c r="A3" s="170" t="s">
        <v>16</v>
      </c>
      <c r="B3" s="170"/>
      <c r="C3" s="170"/>
      <c r="D3" s="170"/>
      <c r="E3" s="170"/>
      <c r="F3" s="170"/>
      <c r="G3" s="170"/>
    </row>
    <row r="4" spans="1:7" s="3" customFormat="1" x14ac:dyDescent="0.25">
      <c r="A4" s="170" t="s">
        <v>57</v>
      </c>
      <c r="B4" s="170"/>
      <c r="C4" s="170"/>
      <c r="D4" s="170"/>
      <c r="E4" s="170"/>
      <c r="F4" s="170"/>
      <c r="G4" s="170"/>
    </row>
    <row r="5" spans="1:7" s="3" customFormat="1" x14ac:dyDescent="0.25">
      <c r="A5" s="169" t="s">
        <v>65</v>
      </c>
      <c r="B5" s="169"/>
      <c r="C5" s="169"/>
      <c r="D5" s="169"/>
      <c r="E5" s="169"/>
      <c r="F5" s="169"/>
      <c r="G5" s="169"/>
    </row>
    <row r="6" spans="1:7" s="3" customFormat="1" x14ac:dyDescent="0.25">
      <c r="A6" s="4"/>
      <c r="B6" s="4"/>
      <c r="C6" s="4"/>
      <c r="D6" s="4"/>
      <c r="E6" s="4"/>
      <c r="F6" s="4"/>
      <c r="G6" s="26"/>
    </row>
    <row r="7" spans="1:7" x14ac:dyDescent="0.25">
      <c r="A7" s="20">
        <v>100</v>
      </c>
      <c r="B7" s="20">
        <v>3300</v>
      </c>
      <c r="C7" s="20">
        <v>0</v>
      </c>
      <c r="D7" s="20">
        <v>0</v>
      </c>
      <c r="E7" s="36" t="s">
        <v>170</v>
      </c>
      <c r="F7" s="20"/>
      <c r="G7" s="28">
        <v>6739081.3206521738</v>
      </c>
    </row>
    <row r="8" spans="1:7" x14ac:dyDescent="0.25">
      <c r="A8" s="20">
        <v>100</v>
      </c>
      <c r="B8" s="20">
        <v>3305</v>
      </c>
      <c r="C8" s="20">
        <v>0</v>
      </c>
      <c r="D8" s="20">
        <v>0</v>
      </c>
      <c r="E8" s="36" t="s">
        <v>141</v>
      </c>
      <c r="F8" s="20"/>
      <c r="G8" s="28">
        <v>195991.17934782608</v>
      </c>
    </row>
    <row r="9" spans="1:7" x14ac:dyDescent="0.25">
      <c r="A9" s="20">
        <v>100</v>
      </c>
      <c r="B9" s="20">
        <v>3334</v>
      </c>
      <c r="C9" s="20">
        <v>0</v>
      </c>
      <c r="D9" s="20">
        <v>0</v>
      </c>
      <c r="E9" s="36" t="s">
        <v>143</v>
      </c>
      <c r="F9" s="20"/>
      <c r="G9" s="28">
        <v>4600</v>
      </c>
    </row>
    <row r="10" spans="1:7" x14ac:dyDescent="0.25">
      <c r="A10" s="20">
        <v>100</v>
      </c>
      <c r="B10" s="20">
        <v>3354</v>
      </c>
      <c r="C10" s="20">
        <v>0</v>
      </c>
      <c r="D10" s="20">
        <v>0</v>
      </c>
      <c r="E10" s="36" t="s">
        <v>142</v>
      </c>
      <c r="F10" s="20"/>
      <c r="G10" s="28">
        <v>72891.976363636364</v>
      </c>
    </row>
    <row r="11" spans="1:7" x14ac:dyDescent="0.25">
      <c r="A11" s="20">
        <v>100</v>
      </c>
      <c r="B11" s="20">
        <v>3405</v>
      </c>
      <c r="C11" s="20">
        <v>0</v>
      </c>
      <c r="D11" s="20">
        <v>0</v>
      </c>
      <c r="E11" s="36" t="s">
        <v>144</v>
      </c>
      <c r="F11" s="20"/>
      <c r="G11" s="28">
        <v>830.88950105674394</v>
      </c>
    </row>
    <row r="12" spans="1:7" x14ac:dyDescent="0.25">
      <c r="A12" s="32">
        <v>100</v>
      </c>
      <c r="B12" s="32">
        <v>3473</v>
      </c>
      <c r="C12" s="32">
        <v>0</v>
      </c>
      <c r="D12" s="32">
        <v>0</v>
      </c>
      <c r="E12" s="37" t="s">
        <v>67</v>
      </c>
      <c r="F12" s="32"/>
      <c r="G12" s="28">
        <v>51355.75056</v>
      </c>
    </row>
    <row r="13" spans="1:7" x14ac:dyDescent="0.25">
      <c r="A13" s="32">
        <v>100</v>
      </c>
      <c r="B13" s="32">
        <v>3491</v>
      </c>
      <c r="C13" s="32">
        <v>0</v>
      </c>
      <c r="D13" s="32">
        <v>0</v>
      </c>
      <c r="E13" s="37" t="s">
        <v>68</v>
      </c>
      <c r="F13" s="32"/>
      <c r="G13" s="28">
        <v>8656.7168849999998</v>
      </c>
    </row>
    <row r="14" spans="1:7" x14ac:dyDescent="0.25">
      <c r="A14" s="32">
        <v>100</v>
      </c>
      <c r="B14" s="32">
        <v>3492</v>
      </c>
      <c r="C14" s="32">
        <v>0</v>
      </c>
      <c r="D14" s="32">
        <v>0</v>
      </c>
      <c r="E14" s="37" t="s">
        <v>69</v>
      </c>
      <c r="F14" s="32"/>
      <c r="G14" s="28">
        <v>2095.5581750000001</v>
      </c>
    </row>
    <row r="15" spans="1:7" x14ac:dyDescent="0.25">
      <c r="A15" s="32">
        <v>100</v>
      </c>
      <c r="B15" s="32">
        <v>3600</v>
      </c>
      <c r="C15" s="32">
        <v>0</v>
      </c>
      <c r="D15" s="32">
        <v>0</v>
      </c>
      <c r="E15" s="37" t="s">
        <v>70</v>
      </c>
      <c r="F15" s="32"/>
      <c r="G15" s="28">
        <v>0</v>
      </c>
    </row>
    <row r="16" spans="1:7" ht="15" customHeight="1" x14ac:dyDescent="0.25">
      <c r="A16" s="20">
        <v>410</v>
      </c>
      <c r="B16" s="20">
        <v>3451</v>
      </c>
      <c r="C16" s="20">
        <v>0</v>
      </c>
      <c r="D16" s="20">
        <v>0</v>
      </c>
      <c r="E16" s="36" t="s">
        <v>71</v>
      </c>
      <c r="F16" s="20"/>
      <c r="G16" s="29">
        <v>77830.010416363642</v>
      </c>
    </row>
    <row r="17" spans="1:7" x14ac:dyDescent="0.25">
      <c r="A17" s="20">
        <v>490</v>
      </c>
      <c r="B17" s="20">
        <v>3290</v>
      </c>
      <c r="C17" s="20">
        <v>0</v>
      </c>
      <c r="D17" s="20">
        <v>0</v>
      </c>
      <c r="E17" s="38" t="s">
        <v>64</v>
      </c>
      <c r="F17" s="34"/>
      <c r="G17" s="29">
        <v>365000</v>
      </c>
    </row>
    <row r="18" spans="1:7" x14ac:dyDescent="0.25">
      <c r="A18" s="20">
        <v>891</v>
      </c>
      <c r="B18" s="20">
        <v>3490</v>
      </c>
      <c r="C18" s="20">
        <v>0</v>
      </c>
      <c r="D18" s="20">
        <v>0</v>
      </c>
      <c r="E18" s="36" t="s">
        <v>72</v>
      </c>
      <c r="F18" s="20"/>
      <c r="G18" s="29">
        <v>150897.50383636364</v>
      </c>
    </row>
    <row r="19" spans="1:7" x14ac:dyDescent="0.25">
      <c r="A19" s="20"/>
      <c r="B19" s="20"/>
      <c r="C19" s="20"/>
      <c r="D19" s="20"/>
      <c r="E19" s="36" t="s">
        <v>132</v>
      </c>
      <c r="F19" s="20"/>
      <c r="G19" s="39">
        <f>SUM(G7:G18)</f>
        <v>7669230.9057374196</v>
      </c>
    </row>
    <row r="20" spans="1:7" x14ac:dyDescent="0.25">
      <c r="A20" s="20"/>
      <c r="B20" s="20"/>
      <c r="C20" s="20"/>
      <c r="D20" s="20"/>
      <c r="E20" s="20"/>
      <c r="F20" s="20"/>
    </row>
    <row r="21" spans="1:7" x14ac:dyDescent="0.25">
      <c r="A21" s="20"/>
      <c r="B21" s="20"/>
      <c r="C21" s="20"/>
      <c r="D21" s="20"/>
      <c r="E21" s="20" t="s">
        <v>158</v>
      </c>
      <c r="F21" s="20"/>
    </row>
    <row r="22" spans="1:7" hidden="1" outlineLevel="2" x14ac:dyDescent="0.25">
      <c r="A22" s="20">
        <v>100</v>
      </c>
      <c r="B22" s="20">
        <v>4000</v>
      </c>
      <c r="C22" s="20">
        <v>7300</v>
      </c>
      <c r="D22" s="20">
        <v>110</v>
      </c>
      <c r="E22" s="20" t="s">
        <v>147</v>
      </c>
      <c r="F22" s="20" t="s">
        <v>9</v>
      </c>
      <c r="G22" s="29">
        <v>193500</v>
      </c>
    </row>
    <row r="23" spans="1:7" hidden="1" outlineLevel="2" x14ac:dyDescent="0.25">
      <c r="A23" s="20">
        <v>100</v>
      </c>
      <c r="B23" s="20">
        <v>4000</v>
      </c>
      <c r="C23" s="20">
        <v>7300</v>
      </c>
      <c r="D23" s="20">
        <v>160</v>
      </c>
      <c r="E23" s="20" t="s">
        <v>147</v>
      </c>
      <c r="F23" s="20" t="s">
        <v>11</v>
      </c>
      <c r="G23" s="29">
        <v>210000</v>
      </c>
    </row>
    <row r="24" spans="1:7" hidden="1" outlineLevel="2" x14ac:dyDescent="0.25">
      <c r="A24" s="20">
        <v>100</v>
      </c>
      <c r="B24" s="20">
        <v>4000</v>
      </c>
      <c r="C24" s="20">
        <v>7900</v>
      </c>
      <c r="D24" s="20">
        <v>160</v>
      </c>
      <c r="E24" s="20" t="s">
        <v>147</v>
      </c>
      <c r="F24" s="20" t="s">
        <v>13</v>
      </c>
      <c r="G24" s="29">
        <v>31600</v>
      </c>
    </row>
    <row r="25" spans="1:7" hidden="1" outlineLevel="2" x14ac:dyDescent="0.25">
      <c r="A25" s="20">
        <v>410</v>
      </c>
      <c r="B25" s="20">
        <v>4000</v>
      </c>
      <c r="C25" s="20">
        <v>7600</v>
      </c>
      <c r="D25" s="20">
        <v>160</v>
      </c>
      <c r="E25" s="20" t="s">
        <v>147</v>
      </c>
      <c r="F25" s="20" t="s">
        <v>131</v>
      </c>
      <c r="G25" s="29">
        <v>59816</v>
      </c>
    </row>
    <row r="26" spans="1:7" hidden="1" outlineLevel="2" x14ac:dyDescent="0.25">
      <c r="A26" s="20">
        <v>100</v>
      </c>
      <c r="B26" s="20">
        <v>4000</v>
      </c>
      <c r="C26" s="20">
        <v>7900</v>
      </c>
      <c r="D26" s="20">
        <v>165</v>
      </c>
      <c r="E26" s="20" t="s">
        <v>147</v>
      </c>
      <c r="F26" s="20" t="s">
        <v>18</v>
      </c>
      <c r="G26" s="29">
        <v>29440</v>
      </c>
    </row>
    <row r="27" spans="1:7" hidden="1" outlineLevel="2" x14ac:dyDescent="0.25">
      <c r="A27" s="20">
        <v>100</v>
      </c>
      <c r="B27" s="20">
        <v>4000</v>
      </c>
      <c r="C27" s="20">
        <v>7300</v>
      </c>
      <c r="D27" s="20">
        <v>210</v>
      </c>
      <c r="E27" s="20" t="s">
        <v>147</v>
      </c>
      <c r="F27" s="20" t="s">
        <v>73</v>
      </c>
      <c r="G27" s="29">
        <v>825</v>
      </c>
    </row>
    <row r="28" spans="1:7" hidden="1" outlineLevel="2" x14ac:dyDescent="0.25">
      <c r="A28" s="32">
        <v>100</v>
      </c>
      <c r="B28" s="32">
        <v>4000</v>
      </c>
      <c r="C28" s="32">
        <v>7300</v>
      </c>
      <c r="D28" s="32">
        <v>220</v>
      </c>
      <c r="E28" s="20" t="s">
        <v>147</v>
      </c>
      <c r="F28" s="32" t="s">
        <v>74</v>
      </c>
      <c r="G28" s="29">
        <v>30867.75</v>
      </c>
    </row>
    <row r="29" spans="1:7" hidden="1" outlineLevel="2" x14ac:dyDescent="0.25">
      <c r="A29" s="32">
        <v>100</v>
      </c>
      <c r="B29" s="32">
        <v>4000</v>
      </c>
      <c r="C29" s="32">
        <v>7900</v>
      </c>
      <c r="D29" s="32">
        <v>220</v>
      </c>
      <c r="E29" s="20" t="s">
        <v>147</v>
      </c>
      <c r="F29" s="32" t="s">
        <v>74</v>
      </c>
      <c r="G29" s="29">
        <v>4669.5600000000004</v>
      </c>
    </row>
    <row r="30" spans="1:7" hidden="1" outlineLevel="2" x14ac:dyDescent="0.25">
      <c r="A30" s="20">
        <v>410</v>
      </c>
      <c r="B30" s="20">
        <v>4000</v>
      </c>
      <c r="C30" s="20">
        <v>7600</v>
      </c>
      <c r="D30" s="20">
        <v>220</v>
      </c>
      <c r="E30" s="20" t="s">
        <v>147</v>
      </c>
      <c r="F30" s="20" t="s">
        <v>74</v>
      </c>
      <c r="G30" s="29">
        <v>4575.924</v>
      </c>
    </row>
    <row r="31" spans="1:7" hidden="1" outlineLevel="2" x14ac:dyDescent="0.25">
      <c r="A31" s="32">
        <v>100</v>
      </c>
      <c r="B31" s="32">
        <v>4000</v>
      </c>
      <c r="C31" s="32">
        <v>7300</v>
      </c>
      <c r="D31" s="32">
        <v>230</v>
      </c>
      <c r="E31" s="20" t="s">
        <v>147</v>
      </c>
      <c r="F31" s="32" t="s">
        <v>75</v>
      </c>
      <c r="G31" s="29">
        <v>27840</v>
      </c>
    </row>
    <row r="32" spans="1:7" hidden="1" outlineLevel="2" x14ac:dyDescent="0.25">
      <c r="A32" s="20">
        <v>100</v>
      </c>
      <c r="B32" s="20">
        <v>4000</v>
      </c>
      <c r="C32" s="20">
        <v>7900</v>
      </c>
      <c r="D32" s="20">
        <v>230</v>
      </c>
      <c r="E32" s="20" t="s">
        <v>147</v>
      </c>
      <c r="F32" s="20" t="s">
        <v>75</v>
      </c>
      <c r="G32" s="29">
        <v>8352</v>
      </c>
    </row>
    <row r="33" spans="1:7" hidden="1" outlineLevel="2" x14ac:dyDescent="0.25">
      <c r="A33" s="32">
        <v>410</v>
      </c>
      <c r="B33" s="32">
        <v>4000</v>
      </c>
      <c r="C33" s="32">
        <v>7600</v>
      </c>
      <c r="D33" s="32">
        <v>230</v>
      </c>
      <c r="E33" s="20" t="s">
        <v>147</v>
      </c>
      <c r="F33" s="32" t="s">
        <v>75</v>
      </c>
      <c r="G33" s="29">
        <v>11136</v>
      </c>
    </row>
    <row r="34" spans="1:7" hidden="1" outlineLevel="2" x14ac:dyDescent="0.25">
      <c r="A34" s="20">
        <v>100</v>
      </c>
      <c r="B34" s="20">
        <v>4000</v>
      </c>
      <c r="C34" s="20">
        <v>7300</v>
      </c>
      <c r="D34" s="20">
        <v>240</v>
      </c>
      <c r="E34" s="20" t="s">
        <v>147</v>
      </c>
      <c r="F34" s="20" t="s">
        <v>76</v>
      </c>
      <c r="G34" s="29">
        <v>4035</v>
      </c>
    </row>
    <row r="35" spans="1:7" hidden="1" outlineLevel="2" x14ac:dyDescent="0.25">
      <c r="A35" s="20">
        <v>100</v>
      </c>
      <c r="B35" s="20">
        <v>4000</v>
      </c>
      <c r="C35" s="20">
        <v>7900</v>
      </c>
      <c r="D35" s="20">
        <v>240</v>
      </c>
      <c r="E35" s="20" t="s">
        <v>147</v>
      </c>
      <c r="F35" s="20" t="s">
        <v>76</v>
      </c>
      <c r="G35" s="29">
        <v>4455.92</v>
      </c>
    </row>
    <row r="36" spans="1:7" hidden="1" outlineLevel="2" x14ac:dyDescent="0.25">
      <c r="A36" s="20">
        <v>410</v>
      </c>
      <c r="B36" s="20">
        <v>4000</v>
      </c>
      <c r="C36" s="20">
        <v>7600</v>
      </c>
      <c r="D36" s="20">
        <v>240</v>
      </c>
      <c r="E36" s="20" t="s">
        <v>147</v>
      </c>
      <c r="F36" s="20" t="s">
        <v>120</v>
      </c>
      <c r="G36" s="29">
        <v>4366.5679999999993</v>
      </c>
    </row>
    <row r="37" spans="1:7" hidden="1" outlineLevel="2" x14ac:dyDescent="0.25">
      <c r="A37" s="20">
        <v>100</v>
      </c>
      <c r="B37" s="20">
        <v>4000</v>
      </c>
      <c r="C37" s="20">
        <v>7300</v>
      </c>
      <c r="D37" s="20">
        <v>250</v>
      </c>
      <c r="E37" s="20" t="s">
        <v>147</v>
      </c>
      <c r="F37" s="20" t="s">
        <v>77</v>
      </c>
      <c r="G37" s="29">
        <v>700</v>
      </c>
    </row>
    <row r="38" spans="1:7" hidden="1" outlineLevel="2" x14ac:dyDescent="0.25">
      <c r="A38" s="20">
        <v>100</v>
      </c>
      <c r="B38" s="20">
        <v>4000</v>
      </c>
      <c r="C38" s="20">
        <v>7900</v>
      </c>
      <c r="D38" s="20">
        <v>250</v>
      </c>
      <c r="E38" s="20" t="s">
        <v>147</v>
      </c>
      <c r="F38" s="20" t="s">
        <v>77</v>
      </c>
      <c r="G38" s="29">
        <v>210</v>
      </c>
    </row>
    <row r="39" spans="1:7" hidden="1" outlineLevel="2" x14ac:dyDescent="0.25">
      <c r="A39" s="20">
        <v>410</v>
      </c>
      <c r="B39" s="20">
        <v>4000</v>
      </c>
      <c r="C39" s="20">
        <v>7600</v>
      </c>
      <c r="D39" s="20">
        <v>250</v>
      </c>
      <c r="E39" s="20" t="s">
        <v>147</v>
      </c>
      <c r="F39" s="20" t="s">
        <v>77</v>
      </c>
      <c r="G39" s="29">
        <v>280</v>
      </c>
    </row>
    <row r="40" spans="1:7" outlineLevel="1" collapsed="1" x14ac:dyDescent="0.25">
      <c r="A40" s="20"/>
      <c r="B40" s="20"/>
      <c r="C40" s="20"/>
      <c r="D40" s="20"/>
      <c r="E40" s="35" t="s">
        <v>159</v>
      </c>
      <c r="F40" s="20"/>
      <c r="G40" s="29">
        <f>SUBTOTAL(9,G22:G39)</f>
        <v>626669.72200000007</v>
      </c>
    </row>
    <row r="41" spans="1:7" hidden="1" outlineLevel="2" x14ac:dyDescent="0.25">
      <c r="A41" s="20">
        <v>100</v>
      </c>
      <c r="B41" s="20">
        <v>4000</v>
      </c>
      <c r="C41" s="20">
        <v>5100</v>
      </c>
      <c r="D41" s="20">
        <v>120</v>
      </c>
      <c r="E41" s="20" t="s">
        <v>145</v>
      </c>
      <c r="F41" s="20" t="s">
        <v>1</v>
      </c>
      <c r="G41" s="29">
        <v>2159849</v>
      </c>
    </row>
    <row r="42" spans="1:7" hidden="1" outlineLevel="2" x14ac:dyDescent="0.25">
      <c r="A42" s="20">
        <v>100</v>
      </c>
      <c r="B42" s="20">
        <v>4000</v>
      </c>
      <c r="C42" s="20">
        <v>5200</v>
      </c>
      <c r="D42" s="20">
        <v>120</v>
      </c>
      <c r="E42" s="20" t="s">
        <v>145</v>
      </c>
      <c r="F42" s="20" t="s">
        <v>5</v>
      </c>
      <c r="G42" s="29">
        <v>38653</v>
      </c>
    </row>
    <row r="43" spans="1:7" hidden="1" outlineLevel="2" x14ac:dyDescent="0.25">
      <c r="A43" s="32">
        <v>100</v>
      </c>
      <c r="B43" s="32">
        <v>4000</v>
      </c>
      <c r="C43" s="32">
        <v>5100</v>
      </c>
      <c r="D43" s="32">
        <v>150</v>
      </c>
      <c r="E43" s="20" t="s">
        <v>145</v>
      </c>
      <c r="F43" s="32" t="s">
        <v>3</v>
      </c>
      <c r="G43" s="29">
        <v>123648</v>
      </c>
    </row>
    <row r="44" spans="1:7" hidden="1" outlineLevel="2" x14ac:dyDescent="0.25">
      <c r="A44" s="32">
        <v>100</v>
      </c>
      <c r="B44" s="32">
        <v>4000</v>
      </c>
      <c r="C44" s="32">
        <v>5100</v>
      </c>
      <c r="D44" s="32">
        <v>210</v>
      </c>
      <c r="E44" s="20" t="s">
        <v>145</v>
      </c>
      <c r="F44" s="32" t="s">
        <v>73</v>
      </c>
      <c r="G44" s="29">
        <v>8241.9</v>
      </c>
    </row>
    <row r="45" spans="1:7" hidden="1" outlineLevel="2" x14ac:dyDescent="0.25">
      <c r="A45" s="32">
        <v>100</v>
      </c>
      <c r="B45" s="32">
        <v>4000</v>
      </c>
      <c r="C45" s="32">
        <v>5100</v>
      </c>
      <c r="D45" s="32">
        <v>220</v>
      </c>
      <c r="E45" s="20" t="s">
        <v>145</v>
      </c>
      <c r="F45" s="32" t="s">
        <v>74</v>
      </c>
      <c r="G45" s="29">
        <v>174687.52049999998</v>
      </c>
    </row>
    <row r="46" spans="1:7" hidden="1" outlineLevel="2" x14ac:dyDescent="0.25">
      <c r="A46" s="20">
        <v>100</v>
      </c>
      <c r="B46" s="20">
        <v>4000</v>
      </c>
      <c r="C46" s="20">
        <v>5200</v>
      </c>
      <c r="D46" s="20">
        <v>220</v>
      </c>
      <c r="E46" s="20" t="s">
        <v>145</v>
      </c>
      <c r="F46" s="20" t="s">
        <v>74</v>
      </c>
      <c r="G46" s="29">
        <v>2956.9544999999998</v>
      </c>
    </row>
    <row r="47" spans="1:7" hidden="1" outlineLevel="2" x14ac:dyDescent="0.25">
      <c r="A47" s="32">
        <v>100</v>
      </c>
      <c r="B47" s="32">
        <v>4000</v>
      </c>
      <c r="C47" s="32">
        <v>5100</v>
      </c>
      <c r="D47" s="32">
        <v>230</v>
      </c>
      <c r="E47" s="20" t="s">
        <v>145</v>
      </c>
      <c r="F47" s="32" t="s">
        <v>75</v>
      </c>
      <c r="G47" s="29">
        <v>189312</v>
      </c>
    </row>
    <row r="48" spans="1:7" hidden="1" outlineLevel="2" x14ac:dyDescent="0.25">
      <c r="A48" s="20">
        <v>100</v>
      </c>
      <c r="B48" s="20">
        <v>4000</v>
      </c>
      <c r="C48" s="20">
        <v>5200</v>
      </c>
      <c r="D48" s="20">
        <v>230</v>
      </c>
      <c r="E48" s="20" t="s">
        <v>145</v>
      </c>
      <c r="F48" s="20" t="s">
        <v>75</v>
      </c>
      <c r="G48" s="29">
        <v>2784</v>
      </c>
    </row>
    <row r="49" spans="1:7" hidden="1" outlineLevel="2" x14ac:dyDescent="0.25">
      <c r="A49" s="32">
        <v>100</v>
      </c>
      <c r="B49" s="32">
        <v>4000</v>
      </c>
      <c r="C49" s="32">
        <v>5100</v>
      </c>
      <c r="D49" s="32">
        <v>240</v>
      </c>
      <c r="E49" s="20" t="s">
        <v>145</v>
      </c>
      <c r="F49" s="32" t="s">
        <v>76</v>
      </c>
      <c r="G49" s="29">
        <v>22834.97</v>
      </c>
    </row>
    <row r="50" spans="1:7" hidden="1" outlineLevel="2" x14ac:dyDescent="0.25">
      <c r="A50" s="20">
        <v>100</v>
      </c>
      <c r="B50" s="20">
        <v>4000</v>
      </c>
      <c r="C50" s="20">
        <v>5200</v>
      </c>
      <c r="D50" s="20">
        <v>240</v>
      </c>
      <c r="E50" s="20" t="s">
        <v>145</v>
      </c>
      <c r="F50" s="20" t="s">
        <v>76</v>
      </c>
      <c r="G50" s="29">
        <v>386.53</v>
      </c>
    </row>
    <row r="51" spans="1:7" hidden="1" outlineLevel="2" x14ac:dyDescent="0.25">
      <c r="A51" s="32">
        <v>100</v>
      </c>
      <c r="B51" s="32">
        <v>4000</v>
      </c>
      <c r="C51" s="32">
        <v>5100</v>
      </c>
      <c r="D51" s="32">
        <v>250</v>
      </c>
      <c r="E51" s="20" t="s">
        <v>145</v>
      </c>
      <c r="F51" s="32" t="s">
        <v>77</v>
      </c>
      <c r="G51" s="29">
        <v>4760</v>
      </c>
    </row>
    <row r="52" spans="1:7" hidden="1" outlineLevel="2" x14ac:dyDescent="0.25">
      <c r="A52" s="20">
        <v>100</v>
      </c>
      <c r="B52" s="20">
        <v>4000</v>
      </c>
      <c r="C52" s="20">
        <v>5200</v>
      </c>
      <c r="D52" s="20">
        <v>250</v>
      </c>
      <c r="E52" s="20" t="s">
        <v>145</v>
      </c>
      <c r="F52" s="20" t="s">
        <v>77</v>
      </c>
      <c r="G52" s="29">
        <v>70</v>
      </c>
    </row>
    <row r="53" spans="1:7" outlineLevel="1" collapsed="1" x14ac:dyDescent="0.25">
      <c r="A53" s="20"/>
      <c r="B53" s="20"/>
      <c r="C53" s="20"/>
      <c r="D53" s="20"/>
      <c r="E53" s="36" t="s">
        <v>160</v>
      </c>
      <c r="F53" s="20"/>
      <c r="G53" s="29">
        <f>SUBTOTAL(9,G41:G52)</f>
        <v>2728183.875</v>
      </c>
    </row>
    <row r="54" spans="1:7" hidden="1" outlineLevel="2" x14ac:dyDescent="0.25">
      <c r="A54" s="32">
        <v>100</v>
      </c>
      <c r="B54" s="32">
        <v>4000</v>
      </c>
      <c r="C54" s="32">
        <v>6100</v>
      </c>
      <c r="D54" s="32">
        <v>130</v>
      </c>
      <c r="E54" s="20" t="s">
        <v>146</v>
      </c>
      <c r="F54" s="32" t="s">
        <v>7</v>
      </c>
      <c r="G54" s="29">
        <v>39500</v>
      </c>
    </row>
    <row r="55" spans="1:7" hidden="1" outlineLevel="2" x14ac:dyDescent="0.25">
      <c r="A55" s="20">
        <v>891</v>
      </c>
      <c r="B55" s="20">
        <v>4000</v>
      </c>
      <c r="C55" s="20">
        <v>9100</v>
      </c>
      <c r="D55" s="20">
        <v>150</v>
      </c>
      <c r="E55" s="20" t="s">
        <v>146</v>
      </c>
      <c r="F55" s="20" t="s">
        <v>17</v>
      </c>
      <c r="G55" s="29">
        <v>35360</v>
      </c>
    </row>
    <row r="56" spans="1:7" hidden="1" outlineLevel="2" x14ac:dyDescent="0.25">
      <c r="A56" s="20">
        <v>100</v>
      </c>
      <c r="B56" s="20">
        <v>4000</v>
      </c>
      <c r="C56" s="20">
        <v>6100</v>
      </c>
      <c r="D56" s="20">
        <v>220</v>
      </c>
      <c r="E56" s="20" t="s">
        <v>146</v>
      </c>
      <c r="F56" s="20" t="s">
        <v>74</v>
      </c>
      <c r="G56" s="29">
        <v>3021.75</v>
      </c>
    </row>
    <row r="57" spans="1:7" hidden="1" outlineLevel="2" x14ac:dyDescent="0.25">
      <c r="A57" s="20">
        <v>891</v>
      </c>
      <c r="B57" s="20">
        <v>4000</v>
      </c>
      <c r="C57" s="20">
        <v>9100</v>
      </c>
      <c r="D57" s="20">
        <v>220</v>
      </c>
      <c r="E57" s="20" t="s">
        <v>146</v>
      </c>
      <c r="F57" s="20" t="s">
        <v>74</v>
      </c>
      <c r="G57" s="29">
        <v>2705.04</v>
      </c>
    </row>
    <row r="58" spans="1:7" hidden="1" outlineLevel="2" x14ac:dyDescent="0.25">
      <c r="A58" s="20">
        <v>100</v>
      </c>
      <c r="B58" s="20">
        <v>4000</v>
      </c>
      <c r="C58" s="20">
        <v>6100</v>
      </c>
      <c r="D58" s="20">
        <v>230</v>
      </c>
      <c r="E58" s="20" t="s">
        <v>146</v>
      </c>
      <c r="F58" s="20" t="s">
        <v>75</v>
      </c>
      <c r="G58" s="29">
        <v>2784</v>
      </c>
    </row>
    <row r="59" spans="1:7" hidden="1" outlineLevel="2" x14ac:dyDescent="0.25">
      <c r="A59" s="20">
        <v>891</v>
      </c>
      <c r="B59" s="20">
        <v>4000</v>
      </c>
      <c r="C59" s="20">
        <v>9100</v>
      </c>
      <c r="D59" s="20">
        <v>230</v>
      </c>
      <c r="E59" s="20" t="s">
        <v>146</v>
      </c>
      <c r="F59" s="20" t="s">
        <v>75</v>
      </c>
      <c r="G59" s="29">
        <v>2784</v>
      </c>
    </row>
    <row r="60" spans="1:7" hidden="1" outlineLevel="2" x14ac:dyDescent="0.25">
      <c r="A60" s="32">
        <v>100</v>
      </c>
      <c r="B60" s="32">
        <v>4000</v>
      </c>
      <c r="C60" s="32">
        <v>6100</v>
      </c>
      <c r="D60" s="32">
        <v>240</v>
      </c>
      <c r="E60" s="20" t="s">
        <v>146</v>
      </c>
      <c r="F60" s="32" t="s">
        <v>76</v>
      </c>
      <c r="G60" s="29">
        <v>395</v>
      </c>
    </row>
    <row r="61" spans="1:7" hidden="1" outlineLevel="2" x14ac:dyDescent="0.25">
      <c r="A61" s="20">
        <v>891</v>
      </c>
      <c r="B61" s="20">
        <v>4000</v>
      </c>
      <c r="C61" s="20">
        <v>9100</v>
      </c>
      <c r="D61" s="20">
        <v>240</v>
      </c>
      <c r="E61" s="20" t="s">
        <v>146</v>
      </c>
      <c r="F61" s="20" t="s">
        <v>128</v>
      </c>
      <c r="G61" s="29">
        <v>353.6</v>
      </c>
    </row>
    <row r="62" spans="1:7" hidden="1" outlineLevel="2" x14ac:dyDescent="0.25">
      <c r="A62" s="32">
        <v>100</v>
      </c>
      <c r="B62" s="32">
        <v>4000</v>
      </c>
      <c r="C62" s="32">
        <v>6100</v>
      </c>
      <c r="D62" s="32">
        <v>250</v>
      </c>
      <c r="E62" s="20" t="s">
        <v>146</v>
      </c>
      <c r="F62" s="32" t="s">
        <v>77</v>
      </c>
      <c r="G62" s="29">
        <v>70</v>
      </c>
    </row>
    <row r="63" spans="1:7" hidden="1" outlineLevel="2" x14ac:dyDescent="0.25">
      <c r="A63" s="20">
        <v>891</v>
      </c>
      <c r="B63" s="20">
        <v>4000</v>
      </c>
      <c r="C63" s="20">
        <v>9100</v>
      </c>
      <c r="D63" s="20">
        <v>250</v>
      </c>
      <c r="E63" s="20" t="s">
        <v>146</v>
      </c>
      <c r="F63" s="20" t="s">
        <v>77</v>
      </c>
      <c r="G63" s="29">
        <v>70</v>
      </c>
    </row>
    <row r="64" spans="1:7" outlineLevel="1" collapsed="1" x14ac:dyDescent="0.25">
      <c r="A64" s="20"/>
      <c r="B64" s="20"/>
      <c r="C64" s="20"/>
      <c r="D64" s="20"/>
      <c r="E64" s="36" t="s">
        <v>161</v>
      </c>
      <c r="F64" s="20"/>
      <c r="G64" s="29">
        <f>SUBTOTAL(9,G54:G63)</f>
        <v>87043.39</v>
      </c>
    </row>
    <row r="65" spans="1:9" hidden="1" outlineLevel="2" x14ac:dyDescent="0.25">
      <c r="A65" s="32">
        <v>100</v>
      </c>
      <c r="B65" s="32">
        <v>4000</v>
      </c>
      <c r="C65" s="32">
        <v>5100</v>
      </c>
      <c r="D65" s="32">
        <v>310</v>
      </c>
      <c r="E65" s="32" t="s">
        <v>148</v>
      </c>
      <c r="F65" s="32" t="s">
        <v>79</v>
      </c>
      <c r="G65" s="29">
        <v>3818.5674099999997</v>
      </c>
    </row>
    <row r="66" spans="1:9" hidden="1" outlineLevel="2" x14ac:dyDescent="0.25">
      <c r="A66" s="20">
        <v>100</v>
      </c>
      <c r="B66" s="20">
        <v>4000</v>
      </c>
      <c r="C66" s="20">
        <v>5200</v>
      </c>
      <c r="D66" s="20">
        <v>310</v>
      </c>
      <c r="E66" s="32" t="s">
        <v>148</v>
      </c>
      <c r="F66" s="20" t="s">
        <v>89</v>
      </c>
      <c r="G66" s="29">
        <v>18375.006359999999</v>
      </c>
    </row>
    <row r="67" spans="1:9" hidden="1" outlineLevel="2" x14ac:dyDescent="0.25">
      <c r="A67" s="20">
        <v>490</v>
      </c>
      <c r="B67" s="20">
        <v>4000</v>
      </c>
      <c r="C67" s="20">
        <v>6400</v>
      </c>
      <c r="D67" s="20">
        <v>310</v>
      </c>
      <c r="E67" s="32" t="s">
        <v>148</v>
      </c>
      <c r="F67" s="20" t="s">
        <v>94</v>
      </c>
      <c r="G67" s="29">
        <v>1077.480425</v>
      </c>
    </row>
    <row r="68" spans="1:9" hidden="1" outlineLevel="2" x14ac:dyDescent="0.25">
      <c r="A68" s="20">
        <v>100</v>
      </c>
      <c r="B68" s="20">
        <v>4000</v>
      </c>
      <c r="C68" s="20">
        <v>7100</v>
      </c>
      <c r="D68" s="20">
        <v>310</v>
      </c>
      <c r="E68" s="32" t="s">
        <v>148</v>
      </c>
      <c r="F68" s="20" t="s">
        <v>95</v>
      </c>
      <c r="G68" s="29">
        <v>10000</v>
      </c>
    </row>
    <row r="69" spans="1:9" hidden="1" outlineLevel="2" x14ac:dyDescent="0.25">
      <c r="A69" s="20">
        <v>100</v>
      </c>
      <c r="B69" s="20">
        <v>4000</v>
      </c>
      <c r="C69" s="20">
        <v>7100</v>
      </c>
      <c r="D69" s="20">
        <v>315</v>
      </c>
      <c r="E69" s="32" t="s">
        <v>148</v>
      </c>
      <c r="F69" s="20" t="s">
        <v>96</v>
      </c>
      <c r="G69" s="29">
        <v>693507.25</v>
      </c>
    </row>
    <row r="70" spans="1:9" hidden="1" outlineLevel="2" x14ac:dyDescent="0.25">
      <c r="A70" s="20">
        <v>410</v>
      </c>
      <c r="B70" s="20">
        <v>4000</v>
      </c>
      <c r="C70" s="20">
        <v>7600</v>
      </c>
      <c r="D70" s="20">
        <v>310</v>
      </c>
      <c r="E70" s="32" t="s">
        <v>148</v>
      </c>
      <c r="F70" s="20" t="s">
        <v>121</v>
      </c>
      <c r="G70" s="29">
        <v>212230.47772499998</v>
      </c>
    </row>
    <row r="71" spans="1:9" outlineLevel="1" collapsed="1" x14ac:dyDescent="0.25">
      <c r="A71" s="20"/>
      <c r="B71" s="20"/>
      <c r="C71" s="20"/>
      <c r="D71" s="20"/>
      <c r="E71" s="37" t="s">
        <v>135</v>
      </c>
      <c r="F71" s="20"/>
      <c r="G71" s="29">
        <f>SUBTOTAL(9,G65:G70)</f>
        <v>939008.78191999998</v>
      </c>
    </row>
    <row r="72" spans="1:9" hidden="1" outlineLevel="2" x14ac:dyDescent="0.25">
      <c r="A72" s="20">
        <v>100</v>
      </c>
      <c r="B72" s="20">
        <v>4000</v>
      </c>
      <c r="C72" s="20">
        <v>7100</v>
      </c>
      <c r="D72" s="20">
        <v>320</v>
      </c>
      <c r="E72" s="20" t="s">
        <v>149</v>
      </c>
      <c r="F72" s="20" t="s">
        <v>97</v>
      </c>
      <c r="G72" s="29">
        <v>28664.566499999997</v>
      </c>
    </row>
    <row r="73" spans="1:9" hidden="1" outlineLevel="2" x14ac:dyDescent="0.25">
      <c r="A73" s="20">
        <v>100</v>
      </c>
      <c r="B73" s="20">
        <v>4000</v>
      </c>
      <c r="C73" s="20">
        <v>7300</v>
      </c>
      <c r="D73" s="20">
        <v>320</v>
      </c>
      <c r="E73" s="20" t="s">
        <v>149</v>
      </c>
      <c r="F73" s="20" t="s">
        <v>104</v>
      </c>
      <c r="G73" s="29">
        <v>30958</v>
      </c>
      <c r="I73" s="12"/>
    </row>
    <row r="74" spans="1:9" outlineLevel="1" collapsed="1" x14ac:dyDescent="0.25">
      <c r="A74" s="20"/>
      <c r="B74" s="20"/>
      <c r="C74" s="20"/>
      <c r="D74" s="20"/>
      <c r="E74" s="36" t="s">
        <v>136</v>
      </c>
      <c r="F74" s="20"/>
      <c r="G74" s="29">
        <f>SUBTOTAL(9,G72:G73)</f>
        <v>59622.566500000001</v>
      </c>
      <c r="I74" s="12"/>
    </row>
    <row r="75" spans="1:9" hidden="1" outlineLevel="2" x14ac:dyDescent="0.25">
      <c r="A75" s="32">
        <v>100</v>
      </c>
      <c r="B75" s="32">
        <v>4000</v>
      </c>
      <c r="C75" s="32">
        <v>7400</v>
      </c>
      <c r="D75" s="32">
        <v>360</v>
      </c>
      <c r="E75" s="32" t="s">
        <v>108</v>
      </c>
      <c r="F75" s="32" t="s">
        <v>108</v>
      </c>
      <c r="G75" s="29">
        <v>1200000</v>
      </c>
    </row>
    <row r="76" spans="1:9" outlineLevel="1" collapsed="1" x14ac:dyDescent="0.25">
      <c r="A76" s="32"/>
      <c r="B76" s="32"/>
      <c r="C76" s="32"/>
      <c r="D76" s="32"/>
      <c r="E76" s="37" t="s">
        <v>166</v>
      </c>
      <c r="F76" s="32"/>
      <c r="G76" s="29">
        <f>SUBTOTAL(9,G75:G75)</f>
        <v>1200000</v>
      </c>
    </row>
    <row r="77" spans="1:9" hidden="1" outlineLevel="2" x14ac:dyDescent="0.25">
      <c r="A77" s="20">
        <v>100</v>
      </c>
      <c r="B77" s="20">
        <v>4000</v>
      </c>
      <c r="C77" s="20">
        <v>7900</v>
      </c>
      <c r="D77" s="20">
        <v>320</v>
      </c>
      <c r="E77" s="20" t="s">
        <v>150</v>
      </c>
      <c r="F77" s="20" t="s">
        <v>113</v>
      </c>
      <c r="G77" s="29">
        <v>31496.506474999998</v>
      </c>
    </row>
    <row r="78" spans="1:9" hidden="1" outlineLevel="2" x14ac:dyDescent="0.25">
      <c r="A78" s="20">
        <v>100</v>
      </c>
      <c r="B78" s="20">
        <v>4000</v>
      </c>
      <c r="C78" s="20">
        <v>7900</v>
      </c>
      <c r="D78" s="20">
        <v>351</v>
      </c>
      <c r="E78" s="20" t="s">
        <v>150</v>
      </c>
      <c r="F78" s="20" t="s">
        <v>114</v>
      </c>
      <c r="G78" s="29">
        <v>100323.83339999999</v>
      </c>
    </row>
    <row r="79" spans="1:9" hidden="1" outlineLevel="2" x14ac:dyDescent="0.25">
      <c r="A79" s="20">
        <v>100</v>
      </c>
      <c r="B79" s="20">
        <v>4000</v>
      </c>
      <c r="C79" s="20">
        <v>7900</v>
      </c>
      <c r="D79" s="20">
        <v>370</v>
      </c>
      <c r="E79" s="20" t="s">
        <v>150</v>
      </c>
      <c r="F79" s="20" t="s">
        <v>115</v>
      </c>
      <c r="G79" s="29">
        <v>14525.338100000001</v>
      </c>
    </row>
    <row r="80" spans="1:9" hidden="1" outlineLevel="2" x14ac:dyDescent="0.25">
      <c r="A80" s="20">
        <v>100</v>
      </c>
      <c r="B80" s="20">
        <v>4000</v>
      </c>
      <c r="C80" s="20">
        <v>7900</v>
      </c>
      <c r="D80" s="20">
        <v>380</v>
      </c>
      <c r="E80" s="20" t="s">
        <v>150</v>
      </c>
      <c r="F80" s="20" t="s">
        <v>116</v>
      </c>
      <c r="G80" s="29">
        <v>50914.548000000003</v>
      </c>
    </row>
    <row r="81" spans="1:7" hidden="1" outlineLevel="2" x14ac:dyDescent="0.25">
      <c r="A81" s="20">
        <v>100</v>
      </c>
      <c r="B81" s="20">
        <v>4000</v>
      </c>
      <c r="C81" s="20">
        <v>7900</v>
      </c>
      <c r="D81" s="20">
        <v>390</v>
      </c>
      <c r="E81" s="20" t="s">
        <v>150</v>
      </c>
      <c r="F81" s="20" t="s">
        <v>117</v>
      </c>
      <c r="G81" s="29">
        <v>16132.818929999999</v>
      </c>
    </row>
    <row r="82" spans="1:7" hidden="1" outlineLevel="2" x14ac:dyDescent="0.25">
      <c r="A82" s="32">
        <v>100</v>
      </c>
      <c r="B82" s="32">
        <v>4000</v>
      </c>
      <c r="C82" s="32">
        <v>7900</v>
      </c>
      <c r="D82" s="32">
        <v>430</v>
      </c>
      <c r="E82" s="20" t="s">
        <v>150</v>
      </c>
      <c r="F82" s="32" t="s">
        <v>118</v>
      </c>
      <c r="G82" s="29">
        <v>119115.25073499999</v>
      </c>
    </row>
    <row r="83" spans="1:7" hidden="1" outlineLevel="2" x14ac:dyDescent="0.25">
      <c r="A83" s="20">
        <v>100</v>
      </c>
      <c r="B83" s="20">
        <v>4000</v>
      </c>
      <c r="C83" s="20">
        <v>7900</v>
      </c>
      <c r="D83" s="20">
        <v>510</v>
      </c>
      <c r="E83" s="20" t="s">
        <v>150</v>
      </c>
      <c r="F83" s="20" t="s">
        <v>119</v>
      </c>
      <c r="G83" s="29">
        <v>2023.6945599999999</v>
      </c>
    </row>
    <row r="84" spans="1:7" hidden="1" outlineLevel="2" x14ac:dyDescent="0.25">
      <c r="A84" s="20">
        <v>100</v>
      </c>
      <c r="B84" s="20">
        <v>4000</v>
      </c>
      <c r="C84" s="20">
        <v>8100</v>
      </c>
      <c r="D84" s="20">
        <v>350</v>
      </c>
      <c r="E84" s="20" t="s">
        <v>150</v>
      </c>
      <c r="F84" s="20" t="s">
        <v>105</v>
      </c>
      <c r="G84" s="29">
        <v>26189.0684</v>
      </c>
    </row>
    <row r="85" spans="1:7" outlineLevel="1" collapsed="1" x14ac:dyDescent="0.25">
      <c r="A85" s="20"/>
      <c r="B85" s="20"/>
      <c r="C85" s="20"/>
      <c r="D85" s="20"/>
      <c r="E85" s="36" t="s">
        <v>162</v>
      </c>
      <c r="F85" s="20"/>
      <c r="G85" s="29">
        <f>SUBTOTAL(9,G77:G84)</f>
        <v>360721.05859999993</v>
      </c>
    </row>
    <row r="86" spans="1:7" hidden="1" outlineLevel="2" x14ac:dyDescent="0.25">
      <c r="A86" s="20">
        <v>100</v>
      </c>
      <c r="B86" s="20">
        <v>4000</v>
      </c>
      <c r="C86" s="20">
        <v>7100</v>
      </c>
      <c r="D86" s="20">
        <v>790</v>
      </c>
      <c r="E86" s="20" t="s">
        <v>152</v>
      </c>
      <c r="F86" s="20" t="s">
        <v>101</v>
      </c>
      <c r="G86" s="29">
        <v>150762.44565217392</v>
      </c>
    </row>
    <row r="87" spans="1:7" hidden="1" outlineLevel="2" x14ac:dyDescent="0.25">
      <c r="A87" s="20">
        <v>490</v>
      </c>
      <c r="B87" s="20">
        <v>4000</v>
      </c>
      <c r="C87" s="20">
        <v>7100</v>
      </c>
      <c r="D87" s="20">
        <v>790</v>
      </c>
      <c r="E87" s="20" t="s">
        <v>152</v>
      </c>
      <c r="F87" s="20" t="s">
        <v>127</v>
      </c>
      <c r="G87" s="29">
        <v>15238.008765420313</v>
      </c>
    </row>
    <row r="88" spans="1:7" outlineLevel="1" collapsed="1" x14ac:dyDescent="0.25">
      <c r="A88" s="20"/>
      <c r="B88" s="20"/>
      <c r="C88" s="20"/>
      <c r="D88" s="20"/>
      <c r="E88" s="36" t="s">
        <v>163</v>
      </c>
      <c r="F88" s="20"/>
      <c r="G88" s="29">
        <f>SUBTOTAL(9,G86:G87)</f>
        <v>166000.45441759424</v>
      </c>
    </row>
    <row r="89" spans="1:7" hidden="1" outlineLevel="2" x14ac:dyDescent="0.25">
      <c r="A89" s="20">
        <v>490</v>
      </c>
      <c r="B89" s="20">
        <v>4000</v>
      </c>
      <c r="C89" s="20">
        <v>5100</v>
      </c>
      <c r="D89" s="20">
        <v>640</v>
      </c>
      <c r="E89" s="32" t="s">
        <v>151</v>
      </c>
      <c r="F89" s="20" t="s">
        <v>126</v>
      </c>
      <c r="G89" s="30">
        <v>1962.4384</v>
      </c>
    </row>
    <row r="90" spans="1:7" hidden="1" outlineLevel="2" x14ac:dyDescent="0.25">
      <c r="A90" s="20">
        <v>490</v>
      </c>
      <c r="B90" s="20">
        <v>4000</v>
      </c>
      <c r="C90" s="20">
        <v>5100</v>
      </c>
      <c r="D90" s="20">
        <v>642</v>
      </c>
      <c r="E90" s="32" t="s">
        <v>151</v>
      </c>
      <c r="F90" s="20" t="s">
        <v>87</v>
      </c>
      <c r="G90" s="30">
        <v>1174.2</v>
      </c>
    </row>
    <row r="91" spans="1:7" hidden="1" outlineLevel="2" x14ac:dyDescent="0.25">
      <c r="A91" s="32">
        <v>100</v>
      </c>
      <c r="B91" s="32">
        <v>4000</v>
      </c>
      <c r="C91" s="32">
        <v>6200</v>
      </c>
      <c r="D91" s="32">
        <v>610</v>
      </c>
      <c r="E91" s="32" t="s">
        <v>151</v>
      </c>
      <c r="F91" s="32" t="s">
        <v>92</v>
      </c>
      <c r="G91" s="29">
        <v>165.23774999999998</v>
      </c>
    </row>
    <row r="92" spans="1:7" hidden="1" outlineLevel="2" x14ac:dyDescent="0.25">
      <c r="A92" s="20">
        <v>100</v>
      </c>
      <c r="B92" s="20">
        <v>4000</v>
      </c>
      <c r="C92" s="20">
        <v>7400</v>
      </c>
      <c r="D92" s="20">
        <v>630</v>
      </c>
      <c r="E92" s="32" t="s">
        <v>151</v>
      </c>
      <c r="F92" s="20" t="s">
        <v>109</v>
      </c>
      <c r="G92" s="29">
        <v>9263.82</v>
      </c>
    </row>
    <row r="93" spans="1:7" hidden="1" outlineLevel="2" x14ac:dyDescent="0.25">
      <c r="A93" s="20">
        <v>410</v>
      </c>
      <c r="B93" s="20">
        <v>4000</v>
      </c>
      <c r="C93" s="20">
        <v>7600</v>
      </c>
      <c r="D93" s="20">
        <v>640</v>
      </c>
      <c r="E93" s="32" t="s">
        <v>151</v>
      </c>
      <c r="F93" s="20" t="s">
        <v>86</v>
      </c>
      <c r="G93" s="29">
        <v>1219.52</v>
      </c>
    </row>
    <row r="94" spans="1:7" outlineLevel="1" collapsed="1" x14ac:dyDescent="0.25">
      <c r="A94" s="20"/>
      <c r="B94" s="20"/>
      <c r="C94" s="20"/>
      <c r="D94" s="20"/>
      <c r="E94" s="37" t="s">
        <v>164</v>
      </c>
      <c r="F94" s="20"/>
      <c r="G94" s="29">
        <f>SUBTOTAL(9,G89:G93)</f>
        <v>13785.21615</v>
      </c>
    </row>
    <row r="95" spans="1:7" hidden="1" outlineLevel="2" x14ac:dyDescent="0.25">
      <c r="A95" s="20">
        <v>100</v>
      </c>
      <c r="B95" s="20">
        <v>4000</v>
      </c>
      <c r="C95" s="20">
        <v>5100</v>
      </c>
      <c r="D95" s="20">
        <v>305</v>
      </c>
      <c r="E95" s="20" t="s">
        <v>153</v>
      </c>
      <c r="F95" s="32" t="s">
        <v>78</v>
      </c>
      <c r="G95" s="29">
        <v>8963.336554999998</v>
      </c>
    </row>
    <row r="96" spans="1:7" hidden="1" outlineLevel="2" x14ac:dyDescent="0.25">
      <c r="A96" s="32">
        <v>100</v>
      </c>
      <c r="B96" s="32">
        <v>4000</v>
      </c>
      <c r="C96" s="32">
        <v>5100</v>
      </c>
      <c r="D96" s="32">
        <v>315</v>
      </c>
      <c r="E96" s="20" t="s">
        <v>153</v>
      </c>
      <c r="F96" s="32" t="s">
        <v>80</v>
      </c>
      <c r="G96" s="29">
        <v>26901.179499999998</v>
      </c>
    </row>
    <row r="97" spans="1:9" hidden="1" outlineLevel="2" x14ac:dyDescent="0.25">
      <c r="A97" s="31">
        <v>490</v>
      </c>
      <c r="B97" s="31">
        <v>4000</v>
      </c>
      <c r="C97" s="31">
        <v>5100</v>
      </c>
      <c r="D97" s="31">
        <v>355</v>
      </c>
      <c r="E97" s="20" t="s">
        <v>153</v>
      </c>
      <c r="F97" s="20" t="s">
        <v>81</v>
      </c>
      <c r="G97" s="29">
        <v>12155.339</v>
      </c>
    </row>
    <row r="98" spans="1:9" hidden="1" outlineLevel="2" x14ac:dyDescent="0.25">
      <c r="A98" s="31">
        <v>490</v>
      </c>
      <c r="B98" s="31">
        <v>4000</v>
      </c>
      <c r="C98" s="31">
        <v>5100</v>
      </c>
      <c r="D98" s="31">
        <v>361</v>
      </c>
      <c r="E98" s="20" t="s">
        <v>153</v>
      </c>
      <c r="F98" s="20" t="s">
        <v>82</v>
      </c>
      <c r="G98" s="29">
        <v>10817.152700000001</v>
      </c>
    </row>
    <row r="99" spans="1:9" hidden="1" outlineLevel="2" x14ac:dyDescent="0.25">
      <c r="A99" s="20">
        <v>100</v>
      </c>
      <c r="B99" s="20">
        <v>4000</v>
      </c>
      <c r="C99" s="20">
        <v>5100</v>
      </c>
      <c r="D99" s="20">
        <v>362</v>
      </c>
      <c r="E99" s="20" t="s">
        <v>153</v>
      </c>
      <c r="F99" s="32" t="s">
        <v>83</v>
      </c>
      <c r="G99" s="29">
        <v>9829.0800000000163</v>
      </c>
    </row>
    <row r="100" spans="1:9" hidden="1" outlineLevel="2" x14ac:dyDescent="0.25">
      <c r="A100" s="31">
        <v>490</v>
      </c>
      <c r="B100" s="31">
        <v>4000</v>
      </c>
      <c r="C100" s="31">
        <v>5100</v>
      </c>
      <c r="D100" s="31">
        <v>362</v>
      </c>
      <c r="E100" s="20" t="s">
        <v>153</v>
      </c>
      <c r="F100" s="20" t="s">
        <v>83</v>
      </c>
      <c r="G100" s="29">
        <v>153384</v>
      </c>
    </row>
    <row r="101" spans="1:9" hidden="1" outlineLevel="2" x14ac:dyDescent="0.25">
      <c r="A101" s="33">
        <v>490</v>
      </c>
      <c r="B101" s="33">
        <v>4000</v>
      </c>
      <c r="C101" s="33">
        <v>5100</v>
      </c>
      <c r="D101" s="33">
        <v>390</v>
      </c>
      <c r="E101" s="20" t="s">
        <v>153</v>
      </c>
      <c r="F101" s="32" t="s">
        <v>84</v>
      </c>
      <c r="G101" s="29">
        <v>14664.11</v>
      </c>
    </row>
    <row r="102" spans="1:9" hidden="1" outlineLevel="2" x14ac:dyDescent="0.25">
      <c r="A102" s="20">
        <v>490</v>
      </c>
      <c r="B102" s="20">
        <v>4000</v>
      </c>
      <c r="C102" s="20">
        <v>5100</v>
      </c>
      <c r="D102" s="20">
        <v>510</v>
      </c>
      <c r="E102" s="20" t="s">
        <v>153</v>
      </c>
      <c r="F102" s="20" t="s">
        <v>125</v>
      </c>
      <c r="G102" s="30">
        <v>27635.699795</v>
      </c>
    </row>
    <row r="103" spans="1:9" hidden="1" outlineLevel="2" x14ac:dyDescent="0.25">
      <c r="A103" s="20">
        <v>490</v>
      </c>
      <c r="B103" s="20">
        <v>4000</v>
      </c>
      <c r="C103" s="20">
        <v>5100</v>
      </c>
      <c r="D103" s="20">
        <v>520</v>
      </c>
      <c r="E103" s="20" t="s">
        <v>153</v>
      </c>
      <c r="F103" s="20" t="s">
        <v>85</v>
      </c>
      <c r="G103" s="30">
        <v>91890.702734999999</v>
      </c>
    </row>
    <row r="104" spans="1:9" hidden="1" outlineLevel="2" x14ac:dyDescent="0.25">
      <c r="A104" s="20">
        <v>100</v>
      </c>
      <c r="B104" s="20">
        <v>4000</v>
      </c>
      <c r="C104" s="20">
        <v>5100</v>
      </c>
      <c r="D104" s="20">
        <v>750</v>
      </c>
      <c r="E104" s="20" t="s">
        <v>153</v>
      </c>
      <c r="F104" s="20" t="s">
        <v>88</v>
      </c>
      <c r="G104" s="29">
        <v>81590.918519999992</v>
      </c>
    </row>
    <row r="105" spans="1:9" hidden="1" outlineLevel="2" x14ac:dyDescent="0.25">
      <c r="A105" s="20">
        <v>100</v>
      </c>
      <c r="B105" s="20">
        <v>4000</v>
      </c>
      <c r="C105" s="20">
        <v>6300</v>
      </c>
      <c r="D105" s="20">
        <v>590</v>
      </c>
      <c r="E105" s="20" t="s">
        <v>153</v>
      </c>
      <c r="F105" s="20" t="s">
        <v>93</v>
      </c>
      <c r="G105" s="29">
        <v>51.821874999999999</v>
      </c>
    </row>
    <row r="106" spans="1:9" outlineLevel="1" collapsed="1" x14ac:dyDescent="0.25">
      <c r="A106" s="20"/>
      <c r="B106" s="20"/>
      <c r="C106" s="20"/>
      <c r="D106" s="20"/>
      <c r="E106" s="36" t="s">
        <v>137</v>
      </c>
      <c r="F106" s="20"/>
      <c r="G106" s="29">
        <f>SUBTOTAL(9,G95:G105)</f>
        <v>437883.34068000008</v>
      </c>
    </row>
    <row r="107" spans="1:9" hidden="1" outlineLevel="2" x14ac:dyDescent="0.25">
      <c r="A107" s="20">
        <v>100</v>
      </c>
      <c r="B107" s="20">
        <v>4000</v>
      </c>
      <c r="C107" s="20">
        <v>7100</v>
      </c>
      <c r="D107" s="20">
        <v>330</v>
      </c>
      <c r="E107" s="20" t="s">
        <v>154</v>
      </c>
      <c r="F107" s="20" t="s">
        <v>98</v>
      </c>
      <c r="G107" s="29">
        <v>1045.0606599999999</v>
      </c>
      <c r="I107" s="23"/>
    </row>
    <row r="108" spans="1:9" hidden="1" outlineLevel="2" x14ac:dyDescent="0.25">
      <c r="A108" s="20">
        <v>100</v>
      </c>
      <c r="B108" s="20">
        <v>4000</v>
      </c>
      <c r="C108" s="20">
        <v>7100</v>
      </c>
      <c r="D108" s="20">
        <v>390</v>
      </c>
      <c r="E108" s="20" t="s">
        <v>154</v>
      </c>
      <c r="F108" s="20" t="s">
        <v>99</v>
      </c>
      <c r="G108" s="29">
        <v>643.72940000000006</v>
      </c>
    </row>
    <row r="109" spans="1:9" hidden="1" outlineLevel="2" x14ac:dyDescent="0.25">
      <c r="A109" s="20">
        <v>100</v>
      </c>
      <c r="B109" s="20">
        <v>4000</v>
      </c>
      <c r="C109" s="20">
        <v>7100</v>
      </c>
      <c r="D109" s="20">
        <v>730</v>
      </c>
      <c r="E109" s="20" t="s">
        <v>154</v>
      </c>
      <c r="F109" s="20" t="s">
        <v>100</v>
      </c>
      <c r="G109" s="29">
        <v>1245.27</v>
      </c>
    </row>
    <row r="110" spans="1:9" hidden="1" outlineLevel="2" x14ac:dyDescent="0.25">
      <c r="A110" s="20">
        <v>100</v>
      </c>
      <c r="B110" s="20">
        <v>4000</v>
      </c>
      <c r="C110" s="20">
        <v>7100</v>
      </c>
      <c r="D110" s="20">
        <v>791</v>
      </c>
      <c r="E110" s="20" t="s">
        <v>154</v>
      </c>
      <c r="F110" s="20" t="s">
        <v>102</v>
      </c>
      <c r="G110" s="29">
        <v>3195.66255</v>
      </c>
    </row>
    <row r="111" spans="1:9" hidden="1" outlineLevel="2" x14ac:dyDescent="0.25">
      <c r="A111" s="20">
        <v>100</v>
      </c>
      <c r="B111" s="20">
        <v>4000</v>
      </c>
      <c r="C111" s="20">
        <v>7100</v>
      </c>
      <c r="D111" s="20">
        <v>795</v>
      </c>
      <c r="E111" s="20" t="s">
        <v>154</v>
      </c>
      <c r="F111" s="20" t="s">
        <v>103</v>
      </c>
      <c r="G111" s="29">
        <v>2078.4884999999999</v>
      </c>
    </row>
    <row r="112" spans="1:9" hidden="1" outlineLevel="2" x14ac:dyDescent="0.25">
      <c r="A112" s="20">
        <v>100</v>
      </c>
      <c r="B112" s="20">
        <v>4000</v>
      </c>
      <c r="C112" s="20">
        <v>7300</v>
      </c>
      <c r="D112" s="20">
        <v>330</v>
      </c>
      <c r="E112" s="20" t="s">
        <v>154</v>
      </c>
      <c r="F112" s="20" t="s">
        <v>98</v>
      </c>
      <c r="G112" s="29">
        <v>1135.7192000000002</v>
      </c>
    </row>
    <row r="113" spans="1:9" hidden="1" outlineLevel="2" x14ac:dyDescent="0.25">
      <c r="A113" s="20">
        <v>100</v>
      </c>
      <c r="B113" s="20">
        <v>4000</v>
      </c>
      <c r="C113" s="20">
        <v>7300</v>
      </c>
      <c r="D113" s="20">
        <v>350</v>
      </c>
      <c r="E113" s="20" t="s">
        <v>154</v>
      </c>
      <c r="F113" s="20" t="s">
        <v>105</v>
      </c>
      <c r="G113" s="29">
        <v>1315.6293000000001</v>
      </c>
    </row>
    <row r="114" spans="1:9" hidden="1" outlineLevel="2" x14ac:dyDescent="0.25">
      <c r="A114" s="31">
        <v>490</v>
      </c>
      <c r="B114" s="31">
        <v>4000</v>
      </c>
      <c r="C114" s="31">
        <v>7300</v>
      </c>
      <c r="D114" s="31">
        <v>360</v>
      </c>
      <c r="E114" s="20" t="s">
        <v>154</v>
      </c>
      <c r="F114" s="20" t="s">
        <v>106</v>
      </c>
      <c r="G114" s="29">
        <v>26301.276600000001</v>
      </c>
    </row>
    <row r="115" spans="1:9" hidden="1" outlineLevel="2" x14ac:dyDescent="0.25">
      <c r="A115" s="20">
        <v>100</v>
      </c>
      <c r="B115" s="20">
        <v>4000</v>
      </c>
      <c r="C115" s="20">
        <v>7300</v>
      </c>
      <c r="D115" s="20">
        <v>370</v>
      </c>
      <c r="E115" s="20" t="s">
        <v>154</v>
      </c>
      <c r="F115" s="20" t="s">
        <v>107</v>
      </c>
      <c r="G115" s="29">
        <v>4395.3910999999998</v>
      </c>
    </row>
    <row r="116" spans="1:9" hidden="1" outlineLevel="2" x14ac:dyDescent="0.25">
      <c r="A116" s="20">
        <v>490</v>
      </c>
      <c r="B116" s="20">
        <v>4000</v>
      </c>
      <c r="C116" s="20">
        <v>7300</v>
      </c>
      <c r="D116" s="20">
        <v>390</v>
      </c>
      <c r="E116" s="20" t="s">
        <v>154</v>
      </c>
      <c r="F116" s="20" t="s">
        <v>99</v>
      </c>
      <c r="G116" s="29">
        <v>8700.0288999999993</v>
      </c>
    </row>
    <row r="117" spans="1:9" hidden="1" outlineLevel="2" x14ac:dyDescent="0.25">
      <c r="A117" s="20">
        <v>100</v>
      </c>
      <c r="B117" s="20">
        <v>4000</v>
      </c>
      <c r="C117" s="20">
        <v>7300</v>
      </c>
      <c r="D117" s="20">
        <v>510</v>
      </c>
      <c r="E117" s="20" t="s">
        <v>154</v>
      </c>
      <c r="F117" s="20" t="s">
        <v>90</v>
      </c>
      <c r="G117" s="29">
        <v>18754.652000000002</v>
      </c>
    </row>
    <row r="118" spans="1:9" outlineLevel="1" collapsed="1" x14ac:dyDescent="0.25">
      <c r="A118" s="20"/>
      <c r="B118" s="20"/>
      <c r="C118" s="20"/>
      <c r="D118" s="20"/>
      <c r="E118" s="36" t="s">
        <v>138</v>
      </c>
      <c r="F118" s="20"/>
      <c r="G118" s="29">
        <f>SUBTOTAL(9,G107:G117)</f>
        <v>68810.908209999994</v>
      </c>
    </row>
    <row r="119" spans="1:9" hidden="1" outlineLevel="2" x14ac:dyDescent="0.25">
      <c r="A119" s="20">
        <v>410</v>
      </c>
      <c r="B119" s="20">
        <v>4000</v>
      </c>
      <c r="C119" s="20">
        <v>7600</v>
      </c>
      <c r="D119" s="20">
        <v>510</v>
      </c>
      <c r="E119" s="20" t="s">
        <v>155</v>
      </c>
      <c r="F119" s="20" t="s">
        <v>122</v>
      </c>
      <c r="G119" s="29">
        <v>234.47177499999995</v>
      </c>
    </row>
    <row r="120" spans="1:9" hidden="1" outlineLevel="2" x14ac:dyDescent="0.25">
      <c r="A120" s="20">
        <v>410</v>
      </c>
      <c r="B120" s="20">
        <v>4000</v>
      </c>
      <c r="C120" s="20">
        <v>7600</v>
      </c>
      <c r="D120" s="20">
        <v>570</v>
      </c>
      <c r="E120" s="20" t="s">
        <v>155</v>
      </c>
      <c r="F120" s="20" t="s">
        <v>123</v>
      </c>
      <c r="G120" s="29">
        <v>5961.8372449999997</v>
      </c>
      <c r="I120" s="12"/>
    </row>
    <row r="121" spans="1:9" hidden="1" outlineLevel="2" x14ac:dyDescent="0.25">
      <c r="A121" s="20">
        <v>410</v>
      </c>
      <c r="B121" s="20">
        <v>4000</v>
      </c>
      <c r="C121" s="20">
        <v>7600</v>
      </c>
      <c r="D121" s="20">
        <v>590</v>
      </c>
      <c r="E121" s="20" t="s">
        <v>155</v>
      </c>
      <c r="F121" s="20" t="s">
        <v>124</v>
      </c>
      <c r="G121" s="29">
        <v>66.40307</v>
      </c>
    </row>
    <row r="122" spans="1:9" outlineLevel="1" collapsed="1" x14ac:dyDescent="0.25">
      <c r="A122" s="20"/>
      <c r="B122" s="20"/>
      <c r="C122" s="20"/>
      <c r="D122" s="20"/>
      <c r="E122" s="36" t="s">
        <v>165</v>
      </c>
      <c r="F122" s="20"/>
      <c r="G122" s="29">
        <f>SUBTOTAL(9,G119:G121)</f>
        <v>6262.71209</v>
      </c>
    </row>
    <row r="123" spans="1:9" hidden="1" outlineLevel="2" x14ac:dyDescent="0.25">
      <c r="A123" s="32">
        <v>100</v>
      </c>
      <c r="B123" s="32">
        <v>4000</v>
      </c>
      <c r="C123" s="32">
        <v>7800</v>
      </c>
      <c r="D123" s="32">
        <v>350</v>
      </c>
      <c r="E123" s="32" t="s">
        <v>156</v>
      </c>
      <c r="F123" s="32" t="s">
        <v>111</v>
      </c>
      <c r="G123" s="30">
        <v>171112.87</v>
      </c>
    </row>
    <row r="124" spans="1:9" hidden="1" outlineLevel="2" x14ac:dyDescent="0.25">
      <c r="A124" s="20">
        <v>100</v>
      </c>
      <c r="B124" s="20">
        <v>4000</v>
      </c>
      <c r="C124" s="20">
        <v>7800</v>
      </c>
      <c r="D124" s="20">
        <v>730</v>
      </c>
      <c r="E124" s="32" t="s">
        <v>156</v>
      </c>
      <c r="F124" s="20" t="s">
        <v>112</v>
      </c>
      <c r="G124" s="30">
        <v>791.00909999999988</v>
      </c>
    </row>
    <row r="125" spans="1:9" outlineLevel="1" collapsed="1" x14ac:dyDescent="0.25">
      <c r="A125" s="20"/>
      <c r="B125" s="20"/>
      <c r="C125" s="20"/>
      <c r="D125" s="20"/>
      <c r="E125" s="37" t="s">
        <v>134</v>
      </c>
      <c r="F125" s="20"/>
      <c r="G125" s="30">
        <f>SUBTOTAL(9,G123:G124)</f>
        <v>171903.87909999999</v>
      </c>
    </row>
    <row r="126" spans="1:9" hidden="1" outlineLevel="2" x14ac:dyDescent="0.25">
      <c r="A126" s="20">
        <v>891</v>
      </c>
      <c r="B126" s="20">
        <v>4000</v>
      </c>
      <c r="C126" s="20">
        <v>9100</v>
      </c>
      <c r="D126" s="20">
        <v>790</v>
      </c>
      <c r="E126" s="20" t="s">
        <v>157</v>
      </c>
      <c r="F126" s="20" t="s">
        <v>129</v>
      </c>
      <c r="G126" s="29">
        <v>7532.1170499999989</v>
      </c>
    </row>
    <row r="127" spans="1:9" hidden="1" outlineLevel="2" x14ac:dyDescent="0.25">
      <c r="A127" s="20">
        <v>891</v>
      </c>
      <c r="B127" s="20">
        <v>4000</v>
      </c>
      <c r="C127" s="20">
        <v>9100</v>
      </c>
      <c r="D127" s="20">
        <v>792</v>
      </c>
      <c r="E127" s="20" t="s">
        <v>157</v>
      </c>
      <c r="F127" s="20" t="s">
        <v>130</v>
      </c>
      <c r="G127" s="29">
        <v>418.95764999999994</v>
      </c>
    </row>
    <row r="128" spans="1:9" outlineLevel="1" collapsed="1" x14ac:dyDescent="0.25">
      <c r="A128" s="20"/>
      <c r="B128" s="20"/>
      <c r="C128" s="20"/>
      <c r="D128" s="20"/>
      <c r="E128" s="36" t="s">
        <v>133</v>
      </c>
      <c r="F128" s="20"/>
      <c r="G128" s="29">
        <f>SUBTOTAL(9,G126:G127)</f>
        <v>7951.0746999999992</v>
      </c>
    </row>
    <row r="129" spans="1:9" x14ac:dyDescent="0.25">
      <c r="A129" s="20"/>
      <c r="B129" s="20"/>
      <c r="C129" s="20"/>
      <c r="D129" s="20"/>
      <c r="E129" s="36" t="s">
        <v>139</v>
      </c>
      <c r="F129" s="20"/>
      <c r="G129" s="39">
        <f>SUBTOTAL(9,G22:G127)</f>
        <v>6873846.9793675952</v>
      </c>
    </row>
    <row r="130" spans="1:9" x14ac:dyDescent="0.25">
      <c r="A130" s="32"/>
      <c r="B130" s="32"/>
      <c r="C130" s="32"/>
      <c r="D130" s="32"/>
      <c r="E130" s="32"/>
      <c r="F130" s="32"/>
    </row>
    <row r="131" spans="1:9" ht="13.8" thickBot="1" x14ac:dyDescent="0.3">
      <c r="A131" s="20"/>
      <c r="B131" s="20"/>
      <c r="C131" s="20"/>
      <c r="D131" s="20"/>
      <c r="E131" s="36" t="s">
        <v>167</v>
      </c>
      <c r="F131" s="20"/>
      <c r="G131" s="40">
        <f>+G19-G129</f>
        <v>795383.92636982445</v>
      </c>
    </row>
    <row r="132" spans="1:9" ht="13.8" thickTop="1" x14ac:dyDescent="0.25">
      <c r="A132" s="20"/>
      <c r="B132" s="20"/>
      <c r="C132" s="20"/>
      <c r="D132" s="20"/>
      <c r="E132" s="20"/>
      <c r="F132" s="20"/>
      <c r="G132" s="30"/>
    </row>
    <row r="133" spans="1:9" x14ac:dyDescent="0.25">
      <c r="A133" s="20"/>
      <c r="B133" s="20"/>
      <c r="C133" s="20"/>
      <c r="D133" s="20"/>
      <c r="E133" s="20"/>
      <c r="F133" s="20"/>
    </row>
    <row r="134" spans="1:9" x14ac:dyDescent="0.25">
      <c r="A134" s="20"/>
      <c r="B134" s="20"/>
      <c r="C134" s="20"/>
      <c r="D134" s="20"/>
      <c r="E134" s="20"/>
      <c r="F134" s="20"/>
      <c r="G134" s="30"/>
    </row>
    <row r="135" spans="1:9" x14ac:dyDescent="0.25">
      <c r="A135" s="20"/>
      <c r="B135" s="20"/>
      <c r="C135" s="20"/>
      <c r="D135" s="20"/>
      <c r="E135" s="20"/>
      <c r="F135" s="20"/>
      <c r="G135" s="30"/>
    </row>
    <row r="136" spans="1:9" x14ac:dyDescent="0.25">
      <c r="A136" s="20"/>
      <c r="B136" s="20"/>
      <c r="C136" s="20"/>
      <c r="D136" s="20"/>
      <c r="E136" s="20"/>
      <c r="F136" s="20"/>
    </row>
    <row r="137" spans="1:9" x14ac:dyDescent="0.25">
      <c r="A137" s="20"/>
      <c r="B137" s="20"/>
      <c r="C137" s="20"/>
      <c r="D137" s="20"/>
      <c r="E137" s="20"/>
      <c r="F137" s="20"/>
      <c r="G137" s="30"/>
    </row>
    <row r="138" spans="1:9" x14ac:dyDescent="0.25">
      <c r="A138" s="20"/>
      <c r="B138" s="20"/>
      <c r="C138" s="20"/>
      <c r="D138" s="20"/>
      <c r="E138" s="20"/>
      <c r="F138" s="20"/>
      <c r="G138" s="30"/>
      <c r="I138" s="12"/>
    </row>
    <row r="139" spans="1:9" x14ac:dyDescent="0.25">
      <c r="A139" s="32"/>
      <c r="B139" s="32"/>
      <c r="C139" s="32"/>
      <c r="D139" s="32"/>
      <c r="E139" s="32"/>
      <c r="F139" s="32"/>
    </row>
    <row r="140" spans="1:9" x14ac:dyDescent="0.25">
      <c r="A140" s="20"/>
      <c r="B140" s="20"/>
      <c r="C140" s="20"/>
      <c r="D140" s="20"/>
      <c r="E140" s="20"/>
      <c r="F140" s="20"/>
    </row>
    <row r="141" spans="1:9" x14ac:dyDescent="0.25">
      <c r="A141" s="20"/>
      <c r="B141" s="20"/>
      <c r="C141" s="20"/>
      <c r="D141" s="20"/>
      <c r="E141" s="20"/>
      <c r="F141" s="20"/>
    </row>
    <row r="142" spans="1:9" x14ac:dyDescent="0.25">
      <c r="A142" s="20"/>
      <c r="B142" s="20"/>
      <c r="C142" s="20"/>
      <c r="D142" s="20"/>
      <c r="E142" s="20"/>
      <c r="F142" s="20"/>
    </row>
    <row r="143" spans="1:9" x14ac:dyDescent="0.25">
      <c r="A143" s="20"/>
      <c r="B143" s="20"/>
      <c r="C143" s="20"/>
      <c r="D143" s="20"/>
      <c r="E143" s="20"/>
      <c r="F143" s="20"/>
    </row>
    <row r="144" spans="1:9" x14ac:dyDescent="0.25">
      <c r="A144" s="20"/>
      <c r="B144" s="20"/>
      <c r="C144" s="20"/>
      <c r="D144" s="20"/>
      <c r="E144" s="20"/>
      <c r="F144" s="20"/>
    </row>
    <row r="145" spans="1:7" x14ac:dyDescent="0.25">
      <c r="A145" s="32"/>
      <c r="B145" s="32"/>
      <c r="C145" s="32"/>
      <c r="D145" s="32"/>
      <c r="E145" s="32"/>
      <c r="F145" s="32"/>
    </row>
    <row r="146" spans="1:7" x14ac:dyDescent="0.25">
      <c r="A146" s="20"/>
      <c r="B146" s="20"/>
      <c r="C146" s="20"/>
      <c r="D146" s="20"/>
      <c r="E146" s="20"/>
      <c r="F146" s="20"/>
    </row>
    <row r="147" spans="1:7" x14ac:dyDescent="0.25">
      <c r="A147" s="20"/>
      <c r="B147" s="20"/>
      <c r="C147" s="20"/>
      <c r="D147" s="20"/>
      <c r="E147" s="20"/>
      <c r="F147" s="20"/>
    </row>
    <row r="148" spans="1:7" x14ac:dyDescent="0.25">
      <c r="A148" s="20"/>
      <c r="B148" s="20"/>
      <c r="C148" s="20"/>
      <c r="D148" s="20"/>
      <c r="E148" s="20"/>
      <c r="F148" s="20"/>
      <c r="G148" s="30"/>
    </row>
    <row r="149" spans="1:7" x14ac:dyDescent="0.25">
      <c r="A149" s="20"/>
      <c r="B149" s="20"/>
      <c r="C149" s="20"/>
      <c r="D149" s="20"/>
      <c r="E149" s="20"/>
      <c r="F149" s="20"/>
    </row>
    <row r="150" spans="1:7" x14ac:dyDescent="0.25">
      <c r="A150" s="20"/>
      <c r="B150" s="20"/>
      <c r="C150" s="20"/>
      <c r="D150" s="20"/>
      <c r="E150" s="20"/>
      <c r="F150" s="20"/>
    </row>
  </sheetData>
  <mergeCells count="5">
    <mergeCell ref="A5:G5"/>
    <mergeCell ref="A1:G1"/>
    <mergeCell ref="A2:G2"/>
    <mergeCell ref="A3:G3"/>
    <mergeCell ref="A4:G4"/>
  </mergeCells>
  <phoneticPr fontId="9" type="noConversion"/>
  <printOptions horizontalCentered="1"/>
  <pageMargins left="0" right="0" top="0.5" bottom="0.5" header="0" footer="0"/>
  <pageSetup fitToHeight="5" orientation="portrait" horizontalDpi="300" verticalDpi="300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266"/>
  <sheetViews>
    <sheetView tabSelected="1" topLeftCell="B1" zoomScaleNormal="100" workbookViewId="0">
      <selection activeCell="B1" sqref="B1"/>
    </sheetView>
  </sheetViews>
  <sheetFormatPr defaultColWidth="9.109375" defaultRowHeight="13.2" x14ac:dyDescent="0.25"/>
  <cols>
    <col min="1" max="1" width="6.109375" style="22" hidden="1" customWidth="1"/>
    <col min="2" max="2" width="4" style="5" customWidth="1"/>
    <col min="3" max="4" width="5" style="5" customWidth="1"/>
    <col min="5" max="6" width="4" style="5" customWidth="1"/>
    <col min="7" max="7" width="48.44140625" style="2" customWidth="1"/>
    <col min="8" max="8" width="13.44140625" style="29" customWidth="1"/>
    <col min="9" max="9" width="9.109375" style="2" hidden="1" customWidth="1"/>
    <col min="10" max="10" width="12.44140625" style="2" hidden="1" customWidth="1"/>
    <col min="11" max="12" width="9.109375" style="2" hidden="1" customWidth="1"/>
    <col min="13" max="13" width="9.6640625" style="2" hidden="1" customWidth="1"/>
    <col min="14" max="16" width="9.109375" style="2" hidden="1" customWidth="1"/>
    <col min="17" max="17" width="10.6640625" style="2" hidden="1" customWidth="1"/>
    <col min="18" max="18" width="0" style="2" hidden="1" customWidth="1"/>
    <col min="19" max="16384" width="9.109375" style="2"/>
  </cols>
  <sheetData>
    <row r="1" spans="1:11" x14ac:dyDescent="0.25">
      <c r="B1" s="94" t="s">
        <v>169</v>
      </c>
      <c r="C1" s="94"/>
      <c r="D1" s="94"/>
      <c r="E1" s="94"/>
      <c r="F1" s="94"/>
      <c r="G1" s="94"/>
      <c r="H1" s="94"/>
      <c r="I1" s="2" t="s">
        <v>189</v>
      </c>
    </row>
    <row r="2" spans="1:11" s="3" customFormat="1" x14ac:dyDescent="0.25">
      <c r="A2" s="22"/>
      <c r="B2" s="94" t="s">
        <v>243</v>
      </c>
      <c r="C2" s="94"/>
      <c r="D2" s="94"/>
      <c r="E2" s="94"/>
      <c r="F2" s="94"/>
      <c r="G2" s="94"/>
      <c r="H2" s="94"/>
      <c r="I2" s="2" t="s">
        <v>189</v>
      </c>
    </row>
    <row r="3" spans="1:11" s="3" customFormat="1" x14ac:dyDescent="0.25">
      <c r="A3" s="22"/>
      <c r="B3" s="94" t="s">
        <v>57</v>
      </c>
      <c r="C3" s="94"/>
      <c r="D3" s="94"/>
      <c r="E3" s="94"/>
      <c r="F3" s="94"/>
      <c r="G3" s="94"/>
      <c r="H3" s="94"/>
      <c r="I3" s="2" t="s">
        <v>189</v>
      </c>
    </row>
    <row r="4" spans="1:11" s="3" customFormat="1" x14ac:dyDescent="0.25">
      <c r="A4" s="22"/>
      <c r="B4" s="95" t="s">
        <v>415</v>
      </c>
      <c r="C4" s="95"/>
      <c r="D4" s="95"/>
      <c r="E4" s="95"/>
      <c r="F4" s="95"/>
      <c r="G4" s="95"/>
      <c r="H4" s="95"/>
      <c r="I4" s="2" t="s">
        <v>189</v>
      </c>
    </row>
    <row r="5" spans="1:11" s="3" customFormat="1" hidden="1" x14ac:dyDescent="0.25">
      <c r="A5" s="22"/>
      <c r="B5" s="95"/>
      <c r="C5" s="95"/>
      <c r="D5" s="95"/>
      <c r="E5" s="95"/>
      <c r="F5" s="95"/>
      <c r="G5" s="95"/>
      <c r="H5" s="95"/>
      <c r="I5" s="2"/>
    </row>
    <row r="6" spans="1:11" s="8" customFormat="1" ht="36" customHeight="1" x14ac:dyDescent="0.25">
      <c r="A6" s="24"/>
      <c r="B6" s="6" t="s">
        <v>58</v>
      </c>
      <c r="C6" s="6"/>
      <c r="D6" s="6"/>
      <c r="E6" s="6"/>
      <c r="F6" s="6"/>
      <c r="G6" s="7" t="s">
        <v>59</v>
      </c>
      <c r="H6" s="7" t="s">
        <v>242</v>
      </c>
      <c r="I6" s="2" t="s">
        <v>189</v>
      </c>
      <c r="J6" s="7">
        <v>100</v>
      </c>
      <c r="K6" s="7">
        <v>493</v>
      </c>
    </row>
    <row r="7" spans="1:11" s="8" customFormat="1" ht="12.75" customHeight="1" x14ac:dyDescent="0.25">
      <c r="A7" s="24"/>
      <c r="B7" s="9"/>
      <c r="C7" s="9"/>
      <c r="D7" s="9"/>
      <c r="E7" s="9"/>
      <c r="F7" s="9"/>
      <c r="H7" s="27"/>
      <c r="I7" s="2" t="s">
        <v>189</v>
      </c>
    </row>
    <row r="8" spans="1:11" s="8" customFormat="1" ht="12.75" hidden="1" customHeight="1" x14ac:dyDescent="0.25">
      <c r="A8" s="24"/>
      <c r="B8" s="10" t="s">
        <v>60</v>
      </c>
      <c r="C8" s="10"/>
      <c r="D8" s="10"/>
      <c r="E8" s="10"/>
      <c r="F8" s="10"/>
      <c r="H8" s="27"/>
    </row>
    <row r="9" spans="1:11" x14ac:dyDescent="0.25">
      <c r="G9" s="11" t="s">
        <v>41</v>
      </c>
      <c r="H9" s="28"/>
      <c r="I9" s="2" t="s">
        <v>189</v>
      </c>
    </row>
    <row r="10" spans="1:11" ht="12" customHeight="1" x14ac:dyDescent="0.25">
      <c r="G10" s="13"/>
      <c r="H10" s="28"/>
      <c r="I10" s="2" t="s">
        <v>189</v>
      </c>
    </row>
    <row r="11" spans="1:11" hidden="1" x14ac:dyDescent="0.25">
      <c r="B11" s="42"/>
      <c r="C11" s="42"/>
      <c r="D11" s="113"/>
      <c r="E11" s="114"/>
      <c r="F11" s="42"/>
      <c r="G11" s="42"/>
      <c r="H11" s="93"/>
      <c r="I11" s="2" t="str">
        <f t="shared" ref="I11:I30" si="0">IF(H11&gt;0.49,"*","")</f>
        <v/>
      </c>
    </row>
    <row r="12" spans="1:11" x14ac:dyDescent="0.25">
      <c r="B12" s="42">
        <f>+'Rev Input'!B11</f>
        <v>100</v>
      </c>
      <c r="C12" s="42">
        <f>+'Rev Input'!C11</f>
        <v>3230</v>
      </c>
      <c r="D12" s="113">
        <f>+'Rev Input'!D11</f>
        <v>0</v>
      </c>
      <c r="E12" s="114">
        <f>+'Rev Input'!E11</f>
        <v>0</v>
      </c>
      <c r="F12" s="42"/>
      <c r="G12" s="42" t="str">
        <f>+'Rev Input'!F11</f>
        <v>IDEA</v>
      </c>
      <c r="H12" s="93">
        <f>+'Rev Input'!M11</f>
        <v>45062.628969860547</v>
      </c>
      <c r="I12" s="2" t="str">
        <f t="shared" si="0"/>
        <v>*</v>
      </c>
      <c r="J12" s="93">
        <f t="shared" ref="J12:J30" si="1">IF(B12=J$6,H12,0)</f>
        <v>45062.628969860547</v>
      </c>
      <c r="K12" s="93">
        <f t="shared" ref="K12:K30" si="2">IF(B12=K$6,H12,0)</f>
        <v>0</v>
      </c>
    </row>
    <row r="13" spans="1:11" x14ac:dyDescent="0.25">
      <c r="B13" s="42">
        <f>+'Rev Input'!B12</f>
        <v>100</v>
      </c>
      <c r="C13" s="42">
        <f>+'Rev Input'!C12</f>
        <v>3290</v>
      </c>
      <c r="D13" s="113">
        <f>+'Rev Input'!D12</f>
        <v>0</v>
      </c>
      <c r="E13" s="114">
        <f>+'Rev Input'!E12</f>
        <v>0</v>
      </c>
      <c r="F13" s="42"/>
      <c r="G13" s="42" t="str">
        <f>+'Rev Input'!F12</f>
        <v>New Freedom Transportation Grant</v>
      </c>
      <c r="H13" s="93">
        <f>+'Rev Input'!M12</f>
        <v>83410.052613585241</v>
      </c>
      <c r="I13" s="2" t="str">
        <f t="shared" si="0"/>
        <v>*</v>
      </c>
      <c r="J13" s="93">
        <f t="shared" si="1"/>
        <v>83410.052613585241</v>
      </c>
      <c r="K13" s="93">
        <f t="shared" si="2"/>
        <v>0</v>
      </c>
    </row>
    <row r="14" spans="1:11" x14ac:dyDescent="0.25">
      <c r="B14" s="42">
        <f>+'Rev Input'!B13</f>
        <v>100</v>
      </c>
      <c r="C14" s="42">
        <f>+'Rev Input'!C13</f>
        <v>3300</v>
      </c>
      <c r="D14" s="113">
        <f>+'Rev Input'!D13</f>
        <v>0</v>
      </c>
      <c r="E14" s="114">
        <f>+'Rev Input'!E13</f>
        <v>0</v>
      </c>
      <c r="F14" s="42"/>
      <c r="G14" s="42" t="str">
        <f>+'Rev Input'!F13</f>
        <v>FEFP - Bay Cty Sch Dist</v>
      </c>
      <c r="H14" s="93">
        <f>+'Rev Input'!M13</f>
        <v>639253</v>
      </c>
      <c r="I14" s="2" t="str">
        <f t="shared" si="0"/>
        <v>*</v>
      </c>
      <c r="J14" s="93">
        <f t="shared" si="1"/>
        <v>639253</v>
      </c>
      <c r="K14" s="93">
        <f t="shared" si="2"/>
        <v>0</v>
      </c>
    </row>
    <row r="15" spans="1:11" x14ac:dyDescent="0.25">
      <c r="B15" s="42">
        <f>+'Rev Input'!B14</f>
        <v>100</v>
      </c>
      <c r="C15" s="42">
        <f>+'Rev Input'!C14</f>
        <v>3334</v>
      </c>
      <c r="D15" s="113">
        <f>+'Rev Input'!D14</f>
        <v>0</v>
      </c>
      <c r="E15" s="114">
        <f>+'Rev Input'!E14</f>
        <v>0</v>
      </c>
      <c r="F15" s="42"/>
      <c r="G15" s="42" t="str">
        <f>+'Rev Input'!F14</f>
        <v>Florida Teacher's Lead Program</v>
      </c>
      <c r="H15" s="93">
        <f>+'Rev Input'!M14</f>
        <v>247.42330184435446</v>
      </c>
      <c r="I15" s="2" t="str">
        <f t="shared" si="0"/>
        <v>*</v>
      </c>
      <c r="J15" s="93">
        <f t="shared" si="1"/>
        <v>247.42330184435446</v>
      </c>
      <c r="K15" s="93">
        <f t="shared" si="2"/>
        <v>0</v>
      </c>
    </row>
    <row r="16" spans="1:11" x14ac:dyDescent="0.25">
      <c r="B16" s="42">
        <f>+'Rev Input'!B15</f>
        <v>100</v>
      </c>
      <c r="C16" s="42">
        <f>+'Rev Input'!C15</f>
        <v>3397</v>
      </c>
      <c r="D16" s="113">
        <f>+'Rev Input'!D15</f>
        <v>0</v>
      </c>
      <c r="E16" s="114">
        <f>+'Rev Input'!E15</f>
        <v>0</v>
      </c>
      <c r="F16" s="42"/>
      <c r="G16" s="42" t="str">
        <f>+'Rev Input'!F15</f>
        <v>Capital Outlay</v>
      </c>
      <c r="H16" s="93">
        <f>+'Rev Input'!M15</f>
        <v>11289.487138101662</v>
      </c>
      <c r="I16" s="2" t="str">
        <f t="shared" si="0"/>
        <v>*</v>
      </c>
      <c r="J16" s="93">
        <f t="shared" si="1"/>
        <v>11289.487138101662</v>
      </c>
      <c r="K16" s="93">
        <f t="shared" si="2"/>
        <v>0</v>
      </c>
    </row>
    <row r="17" spans="2:11" x14ac:dyDescent="0.25">
      <c r="B17" s="42">
        <f>+'Rev Input'!B16</f>
        <v>100</v>
      </c>
      <c r="C17" s="42">
        <f>+'Rev Input'!C16</f>
        <v>3400</v>
      </c>
      <c r="D17" s="113">
        <f>+'Rev Input'!D16</f>
        <v>0</v>
      </c>
      <c r="E17" s="114">
        <f>+'Rev Input'!E16</f>
        <v>0</v>
      </c>
      <c r="F17" s="42"/>
      <c r="G17" s="42" t="str">
        <f>+'Rev Input'!F16</f>
        <v>Interest Income</v>
      </c>
      <c r="H17" s="93">
        <f>+'Rev Input'!M16</f>
        <v>28.233639226270803</v>
      </c>
      <c r="I17" s="2" t="str">
        <f t="shared" si="0"/>
        <v>*</v>
      </c>
      <c r="J17" s="93">
        <f t="shared" si="1"/>
        <v>28.233639226270803</v>
      </c>
      <c r="K17" s="93">
        <f t="shared" si="2"/>
        <v>0</v>
      </c>
    </row>
    <row r="18" spans="2:11" x14ac:dyDescent="0.25">
      <c r="B18" s="42">
        <f>+'Rev Input'!B17</f>
        <v>100</v>
      </c>
      <c r="C18" s="42">
        <f>+'Rev Input'!C17</f>
        <v>3473</v>
      </c>
      <c r="D18" s="113">
        <f>+'Rev Input'!D17</f>
        <v>0</v>
      </c>
      <c r="E18" s="114">
        <f>+'Rev Input'!E17</f>
        <v>0</v>
      </c>
      <c r="F18" s="42"/>
      <c r="G18" s="42" t="str">
        <f>+'Rev Input'!F17</f>
        <v>Other Misc Revenue</v>
      </c>
      <c r="H18" s="93">
        <f>+'Rev Input'!M17</f>
        <v>780.01907332433643</v>
      </c>
      <c r="I18" s="2" t="str">
        <f t="shared" si="0"/>
        <v>*</v>
      </c>
      <c r="J18" s="93">
        <f t="shared" si="1"/>
        <v>780.01907332433643</v>
      </c>
      <c r="K18" s="93">
        <f t="shared" si="2"/>
        <v>0</v>
      </c>
    </row>
    <row r="19" spans="2:11" x14ac:dyDescent="0.25">
      <c r="B19" s="42">
        <f>+'Rev Input'!B18</f>
        <v>100</v>
      </c>
      <c r="C19" s="42">
        <f>+'Rev Input'!C18</f>
        <v>3600</v>
      </c>
      <c r="D19" s="113">
        <f>+'Rev Input'!D18</f>
        <v>0</v>
      </c>
      <c r="E19" s="114">
        <f>+'Rev Input'!E18</f>
        <v>0</v>
      </c>
      <c r="F19" s="42"/>
      <c r="G19" s="42" t="str">
        <f>+'Rev Input'!F18</f>
        <v>Donations</v>
      </c>
      <c r="H19" s="93">
        <f>+'Rev Input'!M18</f>
        <v>91413.873702204219</v>
      </c>
      <c r="I19" s="2" t="str">
        <f t="shared" si="0"/>
        <v>*</v>
      </c>
      <c r="J19" s="93">
        <f t="shared" si="1"/>
        <v>91413.873702204219</v>
      </c>
      <c r="K19" s="93">
        <f t="shared" si="2"/>
        <v>0</v>
      </c>
    </row>
    <row r="20" spans="2:11" hidden="1" x14ac:dyDescent="0.25">
      <c r="B20" s="42">
        <f>+'Rev Input'!B19</f>
        <v>495</v>
      </c>
      <c r="C20" s="42">
        <f>+'Rev Input'!C19</f>
        <v>3318</v>
      </c>
      <c r="D20" s="113">
        <f>+'Rev Input'!D19</f>
        <v>0</v>
      </c>
      <c r="E20" s="114">
        <f>+'Rev Input'!E19</f>
        <v>0</v>
      </c>
      <c r="F20" s="42"/>
      <c r="G20" s="42" t="str">
        <f>+'Rev Input'!F19</f>
        <v>Adults with Disabilities</v>
      </c>
      <c r="H20" s="93">
        <f>+'Rev Input'!M19</f>
        <v>0</v>
      </c>
      <c r="I20" s="2" t="str">
        <f t="shared" si="0"/>
        <v/>
      </c>
      <c r="J20" s="93">
        <f t="shared" si="1"/>
        <v>0</v>
      </c>
      <c r="K20" s="93">
        <f t="shared" si="2"/>
        <v>0</v>
      </c>
    </row>
    <row r="21" spans="2:11" hidden="1" x14ac:dyDescent="0.25">
      <c r="B21" s="42"/>
      <c r="C21" s="42"/>
      <c r="D21" s="113"/>
      <c r="E21" s="114"/>
      <c r="F21" s="42"/>
      <c r="G21" s="42"/>
      <c r="H21" s="93"/>
      <c r="I21" s="2" t="str">
        <f t="shared" si="0"/>
        <v/>
      </c>
      <c r="J21" s="93">
        <f t="shared" si="1"/>
        <v>0</v>
      </c>
      <c r="K21" s="93">
        <f t="shared" si="2"/>
        <v>0</v>
      </c>
    </row>
    <row r="22" spans="2:11" hidden="1" x14ac:dyDescent="0.25">
      <c r="B22" s="42"/>
      <c r="C22" s="42"/>
      <c r="D22" s="113"/>
      <c r="E22" s="114"/>
      <c r="F22" s="42"/>
      <c r="G22" s="42"/>
      <c r="H22" s="93"/>
      <c r="I22" s="2" t="str">
        <f t="shared" si="0"/>
        <v/>
      </c>
      <c r="J22" s="93">
        <f t="shared" si="1"/>
        <v>0</v>
      </c>
      <c r="K22" s="93">
        <f t="shared" si="2"/>
        <v>0</v>
      </c>
    </row>
    <row r="23" spans="2:11" hidden="1" x14ac:dyDescent="0.25">
      <c r="B23" s="42"/>
      <c r="C23" s="42"/>
      <c r="D23" s="113"/>
      <c r="E23" s="114"/>
      <c r="F23" s="42"/>
      <c r="G23" s="42"/>
      <c r="H23" s="93"/>
      <c r="I23" s="2" t="str">
        <f t="shared" si="0"/>
        <v/>
      </c>
      <c r="J23" s="93">
        <f t="shared" si="1"/>
        <v>0</v>
      </c>
      <c r="K23" s="93">
        <f t="shared" si="2"/>
        <v>0</v>
      </c>
    </row>
    <row r="24" spans="2:11" hidden="1" x14ac:dyDescent="0.25">
      <c r="B24" s="42"/>
      <c r="C24" s="42"/>
      <c r="D24" s="113"/>
      <c r="E24" s="114"/>
      <c r="F24" s="42"/>
      <c r="G24" s="42"/>
      <c r="H24" s="93"/>
      <c r="I24" s="2" t="str">
        <f t="shared" si="0"/>
        <v/>
      </c>
      <c r="J24" s="93">
        <f t="shared" si="1"/>
        <v>0</v>
      </c>
      <c r="K24" s="93">
        <f t="shared" si="2"/>
        <v>0</v>
      </c>
    </row>
    <row r="25" spans="2:11" hidden="1" x14ac:dyDescent="0.25">
      <c r="B25" s="42"/>
      <c r="C25" s="42"/>
      <c r="D25" s="113"/>
      <c r="E25" s="114"/>
      <c r="F25" s="42"/>
      <c r="G25" s="42"/>
      <c r="H25" s="93"/>
      <c r="I25" s="2" t="str">
        <f t="shared" si="0"/>
        <v/>
      </c>
      <c r="J25" s="93">
        <f t="shared" si="1"/>
        <v>0</v>
      </c>
      <c r="K25" s="93">
        <f t="shared" si="2"/>
        <v>0</v>
      </c>
    </row>
    <row r="26" spans="2:11" hidden="1" x14ac:dyDescent="0.25">
      <c r="B26" s="42"/>
      <c r="C26" s="42"/>
      <c r="D26" s="113"/>
      <c r="E26" s="114"/>
      <c r="F26" s="42"/>
      <c r="G26" s="42"/>
      <c r="H26" s="93"/>
      <c r="I26" s="2" t="str">
        <f t="shared" si="0"/>
        <v/>
      </c>
      <c r="J26" s="93">
        <f t="shared" si="1"/>
        <v>0</v>
      </c>
      <c r="K26" s="93">
        <f t="shared" si="2"/>
        <v>0</v>
      </c>
    </row>
    <row r="27" spans="2:11" hidden="1" x14ac:dyDescent="0.25">
      <c r="B27" s="42"/>
      <c r="C27" s="42"/>
      <c r="D27" s="113"/>
      <c r="E27" s="114"/>
      <c r="F27" s="42"/>
      <c r="G27" s="42"/>
      <c r="H27" s="93"/>
      <c r="I27" s="2" t="str">
        <f t="shared" si="0"/>
        <v/>
      </c>
      <c r="J27" s="93">
        <f t="shared" si="1"/>
        <v>0</v>
      </c>
      <c r="K27" s="93">
        <f t="shared" si="2"/>
        <v>0</v>
      </c>
    </row>
    <row r="28" spans="2:11" hidden="1" x14ac:dyDescent="0.25">
      <c r="B28" s="42"/>
      <c r="C28" s="42"/>
      <c r="D28" s="113"/>
      <c r="E28" s="114"/>
      <c r="F28" s="42"/>
      <c r="G28" s="42"/>
      <c r="H28" s="93"/>
      <c r="I28" s="2" t="str">
        <f t="shared" si="0"/>
        <v/>
      </c>
      <c r="J28" s="93">
        <f t="shared" si="1"/>
        <v>0</v>
      </c>
      <c r="K28" s="93">
        <f t="shared" si="2"/>
        <v>0</v>
      </c>
    </row>
    <row r="29" spans="2:11" hidden="1" x14ac:dyDescent="0.25">
      <c r="B29" s="42"/>
      <c r="C29" s="42"/>
      <c r="D29" s="113"/>
      <c r="E29" s="114"/>
      <c r="F29" s="42"/>
      <c r="G29" s="42"/>
      <c r="H29" s="93"/>
      <c r="I29" s="2" t="str">
        <f t="shared" si="0"/>
        <v/>
      </c>
      <c r="J29" s="93">
        <f t="shared" si="1"/>
        <v>0</v>
      </c>
      <c r="K29" s="93">
        <f t="shared" si="2"/>
        <v>0</v>
      </c>
    </row>
    <row r="30" spans="2:11" hidden="1" x14ac:dyDescent="0.25">
      <c r="B30" s="42"/>
      <c r="C30" s="42"/>
      <c r="D30" s="42"/>
      <c r="E30" s="42"/>
      <c r="F30" s="42"/>
      <c r="G30" s="42"/>
      <c r="H30" s="93"/>
      <c r="I30" s="2" t="str">
        <f t="shared" si="0"/>
        <v/>
      </c>
      <c r="J30" s="93">
        <f t="shared" si="1"/>
        <v>0</v>
      </c>
      <c r="K30" s="93">
        <f t="shared" si="2"/>
        <v>0</v>
      </c>
    </row>
    <row r="31" spans="2:11" x14ac:dyDescent="0.25">
      <c r="B31" s="42"/>
      <c r="C31" s="42"/>
      <c r="D31" s="42"/>
      <c r="E31" s="42"/>
      <c r="F31" s="42"/>
      <c r="G31" s="42"/>
      <c r="H31" s="28"/>
      <c r="I31" s="2" t="str">
        <f>IF(I32="*","*","")</f>
        <v>*</v>
      </c>
      <c r="J31" s="28"/>
      <c r="K31" s="28"/>
    </row>
    <row r="32" spans="2:11" ht="15" customHeight="1" x14ac:dyDescent="0.25">
      <c r="G32" s="14" t="s">
        <v>42</v>
      </c>
      <c r="H32" s="39">
        <f>SUM(H11:H31)</f>
        <v>871484.71843814675</v>
      </c>
      <c r="I32" s="2" t="str">
        <f>IF(H32&gt;0.49,"*","")</f>
        <v>*</v>
      </c>
      <c r="J32" s="39">
        <f>SUM(J11:J31)</f>
        <v>871484.71843814675</v>
      </c>
      <c r="K32" s="39">
        <f>SUM(K11:K31)</f>
        <v>0</v>
      </c>
    </row>
    <row r="33" spans="1:16" x14ac:dyDescent="0.25">
      <c r="G33" s="14"/>
      <c r="I33" s="2" t="str">
        <f>IF(I32="*","*","")</f>
        <v>*</v>
      </c>
      <c r="J33" s="29"/>
      <c r="K33" s="29"/>
    </row>
    <row r="34" spans="1:16" x14ac:dyDescent="0.25">
      <c r="G34" s="13" t="s">
        <v>43</v>
      </c>
      <c r="I34" s="2" t="s">
        <v>189</v>
      </c>
      <c r="J34" s="93"/>
      <c r="K34" s="93"/>
    </row>
    <row r="35" spans="1:16" x14ac:dyDescent="0.25">
      <c r="B35" s="2"/>
      <c r="C35" s="2"/>
      <c r="D35" s="2"/>
      <c r="E35" s="2"/>
      <c r="F35" s="2"/>
      <c r="I35" s="2" t="s">
        <v>189</v>
      </c>
      <c r="J35" s="93"/>
      <c r="K35" s="93"/>
    </row>
    <row r="36" spans="1:16" x14ac:dyDescent="0.25">
      <c r="A36" s="25">
        <v>1</v>
      </c>
      <c r="B36" s="42">
        <v>100</v>
      </c>
      <c r="C36" s="42">
        <v>4000</v>
      </c>
      <c r="D36" s="42">
        <v>5200</v>
      </c>
      <c r="E36" s="42">
        <v>120</v>
      </c>
      <c r="F36" s="42"/>
      <c r="G36" s="42" t="s">
        <v>1</v>
      </c>
      <c r="H36" s="29">
        <f>+Payroll!E40</f>
        <v>87979.92</v>
      </c>
      <c r="I36" s="2" t="str">
        <f t="shared" ref="I36:I56" si="3">IF(H36&gt;0.49,"*","")</f>
        <v>*</v>
      </c>
      <c r="J36" s="93">
        <f t="shared" ref="J36:J56" si="4">IF(B36=J$6,H36,0)</f>
        <v>87979.92</v>
      </c>
      <c r="K36" s="93">
        <f t="shared" ref="K36:K56" si="5">IF(B36=K$6,H36,0)</f>
        <v>0</v>
      </c>
      <c r="O36" s="29">
        <f>IF(E36&lt;300,H36,0)</f>
        <v>87979.92</v>
      </c>
      <c r="P36" s="29">
        <f>IF(E36&gt;299,H36,0)</f>
        <v>0</v>
      </c>
    </row>
    <row r="37" spans="1:16" x14ac:dyDescent="0.25">
      <c r="A37" s="25">
        <v>1</v>
      </c>
      <c r="B37" s="42">
        <v>100</v>
      </c>
      <c r="C37" s="42">
        <v>4000</v>
      </c>
      <c r="D37" s="42">
        <v>5200</v>
      </c>
      <c r="E37" s="42">
        <v>121</v>
      </c>
      <c r="F37" s="2"/>
      <c r="G37" s="42" t="s">
        <v>359</v>
      </c>
      <c r="H37" s="29">
        <f>+Payroll!E45</f>
        <v>8924.4000000000015</v>
      </c>
      <c r="I37" s="2" t="str">
        <f t="shared" ref="I37" si="6">IF(H37&gt;0.49,"*","")</f>
        <v>*</v>
      </c>
      <c r="J37" s="93">
        <f t="shared" ref="J37" si="7">IF(B37=J$6,H37,0)</f>
        <v>8924.4000000000015</v>
      </c>
      <c r="K37" s="93">
        <f t="shared" ref="K37" si="8">IF(B37=K$6,H37,0)</f>
        <v>0</v>
      </c>
      <c r="O37" s="29">
        <f t="shared" ref="O37:O100" si="9">IF(E37&lt;300,H37,0)</f>
        <v>8924.4000000000015</v>
      </c>
      <c r="P37" s="29">
        <f t="shared" ref="P37:P100" si="10">IF(E37&gt;299,H37,0)</f>
        <v>0</v>
      </c>
    </row>
    <row r="38" spans="1:16" x14ac:dyDescent="0.25">
      <c r="A38" s="25">
        <v>1</v>
      </c>
      <c r="B38" s="42">
        <v>100</v>
      </c>
      <c r="C38" s="42">
        <v>4000</v>
      </c>
      <c r="D38" s="42">
        <v>5200</v>
      </c>
      <c r="E38" s="42">
        <v>150</v>
      </c>
      <c r="F38" s="42"/>
      <c r="G38" s="42" t="s">
        <v>3</v>
      </c>
      <c r="H38" s="29">
        <f>+Payroll!E74</f>
        <v>113234.4</v>
      </c>
      <c r="I38" s="2" t="str">
        <f t="shared" si="3"/>
        <v>*</v>
      </c>
      <c r="J38" s="93">
        <f t="shared" si="4"/>
        <v>113234.4</v>
      </c>
      <c r="K38" s="93">
        <f t="shared" si="5"/>
        <v>0</v>
      </c>
      <c r="O38" s="29">
        <f t="shared" si="9"/>
        <v>113234.4</v>
      </c>
      <c r="P38" s="29">
        <f t="shared" si="10"/>
        <v>0</v>
      </c>
    </row>
    <row r="39" spans="1:16" x14ac:dyDescent="0.25">
      <c r="A39" s="25">
        <v>1</v>
      </c>
      <c r="B39" s="42">
        <v>100</v>
      </c>
      <c r="C39" s="42">
        <v>4000</v>
      </c>
      <c r="D39" s="42">
        <v>5200</v>
      </c>
      <c r="E39" s="42">
        <v>210</v>
      </c>
      <c r="F39" s="42"/>
      <c r="G39" s="42" t="s">
        <v>73</v>
      </c>
      <c r="H39" s="29">
        <f>+Payroll!F40+Payroll!F45+Payroll!F74</f>
        <v>15151.001711999997</v>
      </c>
      <c r="I39" s="2" t="str">
        <f t="shared" si="3"/>
        <v>*</v>
      </c>
      <c r="J39" s="93">
        <f t="shared" si="4"/>
        <v>15151.001711999997</v>
      </c>
      <c r="K39" s="93">
        <f t="shared" si="5"/>
        <v>0</v>
      </c>
      <c r="O39" s="29">
        <f t="shared" si="9"/>
        <v>15151.001711999997</v>
      </c>
      <c r="P39" s="29">
        <f t="shared" si="10"/>
        <v>0</v>
      </c>
    </row>
    <row r="40" spans="1:16" x14ac:dyDescent="0.25">
      <c r="A40" s="25">
        <v>1</v>
      </c>
      <c r="B40" s="42">
        <v>100</v>
      </c>
      <c r="C40" s="42">
        <v>4000</v>
      </c>
      <c r="D40" s="42">
        <v>5200</v>
      </c>
      <c r="E40" s="42">
        <v>220</v>
      </c>
      <c r="F40" s="42"/>
      <c r="G40" s="42" t="s">
        <v>74</v>
      </c>
      <c r="H40" s="29">
        <f>+Payroll!H40+Payroll!H45+Payroll!H74</f>
        <v>16075.612079999997</v>
      </c>
      <c r="I40" s="2" t="str">
        <f t="shared" si="3"/>
        <v>*</v>
      </c>
      <c r="J40" s="93">
        <f t="shared" si="4"/>
        <v>16075.612079999997</v>
      </c>
      <c r="K40" s="93">
        <f t="shared" si="5"/>
        <v>0</v>
      </c>
      <c r="O40" s="29">
        <f t="shared" si="9"/>
        <v>16075.612079999997</v>
      </c>
      <c r="P40" s="29">
        <f t="shared" si="10"/>
        <v>0</v>
      </c>
    </row>
    <row r="41" spans="1:16" x14ac:dyDescent="0.25">
      <c r="A41" s="25">
        <v>1</v>
      </c>
      <c r="B41" s="42">
        <v>100</v>
      </c>
      <c r="C41" s="42">
        <v>4000</v>
      </c>
      <c r="D41" s="42">
        <v>5200</v>
      </c>
      <c r="E41" s="42">
        <v>230</v>
      </c>
      <c r="F41" s="42"/>
      <c r="G41" s="42" t="s">
        <v>75</v>
      </c>
      <c r="H41" s="29">
        <f>+Payroll!I40+Payroll!I45+Payroll!I74</f>
        <v>23200.76</v>
      </c>
      <c r="I41" s="2" t="str">
        <f t="shared" si="3"/>
        <v>*</v>
      </c>
      <c r="J41" s="93">
        <f t="shared" si="4"/>
        <v>23200.76</v>
      </c>
      <c r="K41" s="93">
        <f t="shared" si="5"/>
        <v>0</v>
      </c>
      <c r="O41" s="29">
        <f t="shared" si="9"/>
        <v>23200.76</v>
      </c>
      <c r="P41" s="29">
        <f t="shared" si="10"/>
        <v>0</v>
      </c>
    </row>
    <row r="42" spans="1:16" x14ac:dyDescent="0.25">
      <c r="A42" s="25">
        <v>1</v>
      </c>
      <c r="B42" s="42">
        <v>100</v>
      </c>
      <c r="C42" s="42">
        <v>4000</v>
      </c>
      <c r="D42" s="42">
        <v>5200</v>
      </c>
      <c r="E42" s="42">
        <v>240</v>
      </c>
      <c r="F42" s="42"/>
      <c r="G42" s="42" t="s">
        <v>76</v>
      </c>
      <c r="H42" s="29">
        <f>+Payroll!K40+Payroll!K45+Payroll!K74</f>
        <v>1050.6936000000001</v>
      </c>
      <c r="I42" s="2" t="str">
        <f t="shared" si="3"/>
        <v>*</v>
      </c>
      <c r="J42" s="93">
        <f t="shared" si="4"/>
        <v>1050.6936000000001</v>
      </c>
      <c r="K42" s="93">
        <f t="shared" si="5"/>
        <v>0</v>
      </c>
      <c r="O42" s="29">
        <f t="shared" si="9"/>
        <v>1050.6936000000001</v>
      </c>
      <c r="P42" s="29">
        <f t="shared" si="10"/>
        <v>0</v>
      </c>
    </row>
    <row r="43" spans="1:16" x14ac:dyDescent="0.25">
      <c r="A43" s="25">
        <v>1</v>
      </c>
      <c r="B43" s="42">
        <v>100</v>
      </c>
      <c r="C43" s="42">
        <v>4000</v>
      </c>
      <c r="D43" s="42">
        <v>5200</v>
      </c>
      <c r="E43" s="42">
        <v>250</v>
      </c>
      <c r="F43" s="42"/>
      <c r="G43" s="42" t="s">
        <v>77</v>
      </c>
      <c r="H43" s="29">
        <f>+Payroll!L40+Payroll!L45+Payroll!L74</f>
        <v>2876.9760000000001</v>
      </c>
      <c r="I43" s="2" t="str">
        <f t="shared" si="3"/>
        <v>*</v>
      </c>
      <c r="J43" s="93">
        <f t="shared" si="4"/>
        <v>2876.9760000000001</v>
      </c>
      <c r="K43" s="93">
        <f t="shared" si="5"/>
        <v>0</v>
      </c>
      <c r="O43" s="29">
        <f t="shared" si="9"/>
        <v>2876.9760000000001</v>
      </c>
      <c r="P43" s="29">
        <f t="shared" si="10"/>
        <v>0</v>
      </c>
    </row>
    <row r="44" spans="1:16" x14ac:dyDescent="0.25">
      <c r="A44" s="25"/>
      <c r="B44" s="42">
        <f>+' Expense Input'!B9</f>
        <v>100</v>
      </c>
      <c r="C44" s="42">
        <f>+' Expense Input'!C9</f>
        <v>4000</v>
      </c>
      <c r="D44" s="42">
        <f>+' Expense Input'!D9</f>
        <v>5200</v>
      </c>
      <c r="E44" s="42">
        <f>+' Expense Input'!E9</f>
        <v>310</v>
      </c>
      <c r="F44" s="42"/>
      <c r="G44" s="42" t="str">
        <f>+' Expense Input'!F9</f>
        <v>Contracted Services</v>
      </c>
      <c r="H44" s="93">
        <f>+' Expense Input'!M9</f>
        <v>39601.48952928475</v>
      </c>
      <c r="I44" s="2" t="str">
        <f t="shared" si="3"/>
        <v>*</v>
      </c>
      <c r="J44" s="93">
        <f t="shared" si="4"/>
        <v>39601.48952928475</v>
      </c>
      <c r="K44" s="93">
        <f t="shared" si="5"/>
        <v>0</v>
      </c>
      <c r="O44" s="29">
        <f t="shared" si="9"/>
        <v>0</v>
      </c>
      <c r="P44" s="29">
        <f t="shared" si="10"/>
        <v>39601.48952928475</v>
      </c>
    </row>
    <row r="45" spans="1:16" x14ac:dyDescent="0.25">
      <c r="A45" s="25"/>
      <c r="B45" s="42">
        <f>+' Expense Input'!B10</f>
        <v>100</v>
      </c>
      <c r="C45" s="42">
        <f>+' Expense Input'!C10</f>
        <v>4000</v>
      </c>
      <c r="D45" s="42">
        <f>+' Expense Input'!D10</f>
        <v>5200</v>
      </c>
      <c r="E45" s="42">
        <f>+' Expense Input'!E10</f>
        <v>315</v>
      </c>
      <c r="F45" s="42"/>
      <c r="G45" s="42" t="str">
        <f>+' Expense Input'!F10</f>
        <v>Field Trips</v>
      </c>
      <c r="H45" s="93">
        <f>+' Expense Input'!M10</f>
        <v>882.79020467836256</v>
      </c>
      <c r="I45" s="2" t="str">
        <f t="shared" si="3"/>
        <v>*</v>
      </c>
      <c r="J45" s="93">
        <f t="shared" si="4"/>
        <v>882.79020467836256</v>
      </c>
      <c r="K45" s="93">
        <f t="shared" si="5"/>
        <v>0</v>
      </c>
      <c r="O45" s="29">
        <f t="shared" si="9"/>
        <v>0</v>
      </c>
      <c r="P45" s="29">
        <f t="shared" si="10"/>
        <v>882.79020467836256</v>
      </c>
    </row>
    <row r="46" spans="1:16" x14ac:dyDescent="0.25">
      <c r="A46" s="25"/>
      <c r="B46" s="42">
        <f>+' Expense Input'!B11</f>
        <v>100</v>
      </c>
      <c r="C46" s="42">
        <f>+' Expense Input'!C11</f>
        <v>4000</v>
      </c>
      <c r="D46" s="42">
        <f>+' Expense Input'!D11</f>
        <v>5200</v>
      </c>
      <c r="E46" s="42">
        <f>+' Expense Input'!E11</f>
        <v>330</v>
      </c>
      <c r="F46" s="42"/>
      <c r="G46" s="42" t="str">
        <f>+' Expense Input'!F11</f>
        <v>Travel/Conference/Workshops</v>
      </c>
      <c r="H46" s="93">
        <f>+' Expense Input'!M11</f>
        <v>104643.20001421502</v>
      </c>
      <c r="I46" s="2" t="str">
        <f t="shared" si="3"/>
        <v>*</v>
      </c>
      <c r="J46" s="93">
        <f t="shared" si="4"/>
        <v>104643.20001421502</v>
      </c>
      <c r="K46" s="93">
        <f t="shared" si="5"/>
        <v>0</v>
      </c>
      <c r="O46" s="29">
        <f t="shared" si="9"/>
        <v>0</v>
      </c>
      <c r="P46" s="29">
        <f t="shared" si="10"/>
        <v>104643.20001421502</v>
      </c>
    </row>
    <row r="47" spans="1:16" x14ac:dyDescent="0.25">
      <c r="A47" s="25"/>
      <c r="B47" s="42">
        <f>+' Expense Input'!B12</f>
        <v>100</v>
      </c>
      <c r="C47" s="42">
        <f>+' Expense Input'!C12</f>
        <v>4000</v>
      </c>
      <c r="D47" s="42">
        <f>+' Expense Input'!D12</f>
        <v>5200</v>
      </c>
      <c r="E47" s="42">
        <f>+' Expense Input'!E12</f>
        <v>390</v>
      </c>
      <c r="F47" s="42"/>
      <c r="G47" s="42" t="str">
        <f>+' Expense Input'!F12</f>
        <v>Copy and Printing</v>
      </c>
      <c r="H47" s="93">
        <f>+' Expense Input'!M12</f>
        <v>8465.4814796221308</v>
      </c>
      <c r="I47" s="2" t="str">
        <f t="shared" si="3"/>
        <v>*</v>
      </c>
      <c r="J47" s="93">
        <f t="shared" si="4"/>
        <v>8465.4814796221308</v>
      </c>
      <c r="K47" s="93">
        <f t="shared" si="5"/>
        <v>0</v>
      </c>
      <c r="O47" s="29">
        <f t="shared" si="9"/>
        <v>0</v>
      </c>
      <c r="P47" s="29">
        <f t="shared" si="10"/>
        <v>8465.4814796221308</v>
      </c>
    </row>
    <row r="48" spans="1:16" x14ac:dyDescent="0.25">
      <c r="A48" s="25"/>
      <c r="B48" s="42">
        <f>+' Expense Input'!B13</f>
        <v>100</v>
      </c>
      <c r="C48" s="42">
        <f>+' Expense Input'!C13</f>
        <v>4000</v>
      </c>
      <c r="D48" s="42">
        <f>+' Expense Input'!D13</f>
        <v>5200</v>
      </c>
      <c r="E48" s="42">
        <f>+' Expense Input'!E13</f>
        <v>510</v>
      </c>
      <c r="F48" s="42"/>
      <c r="G48" s="42" t="str">
        <f>+' Expense Input'!F13</f>
        <v>Instructional Materials</v>
      </c>
      <c r="H48" s="93">
        <f>+' Expense Input'!M13</f>
        <v>61766.087181016635</v>
      </c>
      <c r="I48" s="2" t="str">
        <f t="shared" si="3"/>
        <v>*</v>
      </c>
      <c r="J48" s="93">
        <f t="shared" si="4"/>
        <v>61766.087181016635</v>
      </c>
      <c r="K48" s="93">
        <f t="shared" si="5"/>
        <v>0</v>
      </c>
      <c r="O48" s="29">
        <f t="shared" si="9"/>
        <v>0</v>
      </c>
      <c r="P48" s="29">
        <f t="shared" si="10"/>
        <v>61766.087181016635</v>
      </c>
    </row>
    <row r="49" spans="1:16" x14ac:dyDescent="0.25">
      <c r="A49" s="25"/>
      <c r="B49" s="42">
        <f>+' Expense Input'!B14</f>
        <v>100</v>
      </c>
      <c r="C49" s="42">
        <f>+' Expense Input'!C14</f>
        <v>4000</v>
      </c>
      <c r="D49" s="42">
        <f>+' Expense Input'!D14</f>
        <v>5200</v>
      </c>
      <c r="E49" s="42">
        <f>+' Expense Input'!E14</f>
        <v>520</v>
      </c>
      <c r="F49" s="42"/>
      <c r="G49" s="42" t="str">
        <f>+' Expense Input'!F14</f>
        <v>Textbooks</v>
      </c>
      <c r="H49" s="93">
        <f>+' Expense Input'!M14</f>
        <v>108.70048897885738</v>
      </c>
      <c r="I49" s="2" t="str">
        <f t="shared" si="3"/>
        <v>*</v>
      </c>
      <c r="J49" s="93">
        <f t="shared" si="4"/>
        <v>108.70048897885738</v>
      </c>
      <c r="K49" s="93">
        <f t="shared" si="5"/>
        <v>0</v>
      </c>
      <c r="O49" s="29">
        <f t="shared" si="9"/>
        <v>0</v>
      </c>
      <c r="P49" s="29">
        <f t="shared" si="10"/>
        <v>108.70048897885738</v>
      </c>
    </row>
    <row r="50" spans="1:16" x14ac:dyDescent="0.25">
      <c r="A50" s="25"/>
      <c r="B50" s="42">
        <f>+' Expense Input'!B15</f>
        <v>100</v>
      </c>
      <c r="C50" s="42">
        <f>+' Expense Input'!C15</f>
        <v>4000</v>
      </c>
      <c r="D50" s="42">
        <f>+' Expense Input'!D15</f>
        <v>5200</v>
      </c>
      <c r="E50" s="42">
        <f>+' Expense Input'!E15</f>
        <v>640</v>
      </c>
      <c r="F50" s="42"/>
      <c r="G50" s="42" t="str">
        <f>+' Expense Input'!F15</f>
        <v>Capital Furniture &amp; Equipment</v>
      </c>
      <c r="H50" s="93">
        <f>+' Expense Input'!M15</f>
        <v>197.53758101664417</v>
      </c>
      <c r="I50" s="2" t="str">
        <f t="shared" si="3"/>
        <v>*</v>
      </c>
      <c r="J50" s="93">
        <f t="shared" si="4"/>
        <v>197.53758101664417</v>
      </c>
      <c r="K50" s="93">
        <f t="shared" si="5"/>
        <v>0</v>
      </c>
      <c r="O50" s="29">
        <f t="shared" si="9"/>
        <v>0</v>
      </c>
      <c r="P50" s="29">
        <f t="shared" si="10"/>
        <v>197.53758101664417</v>
      </c>
    </row>
    <row r="51" spans="1:16" hidden="1" x14ac:dyDescent="0.25">
      <c r="A51" s="25"/>
      <c r="B51" s="42">
        <f>+' Expense Input'!B16</f>
        <v>100</v>
      </c>
      <c r="C51" s="42">
        <f>+' Expense Input'!C16</f>
        <v>4000</v>
      </c>
      <c r="D51" s="42">
        <f>+' Expense Input'!D16</f>
        <v>5200</v>
      </c>
      <c r="E51" s="42">
        <f>+' Expense Input'!E16</f>
        <v>642</v>
      </c>
      <c r="F51" s="42"/>
      <c r="G51" s="42" t="str">
        <f>+' Expense Input'!F16</f>
        <v>Non Capital Furniture &amp; Equipment</v>
      </c>
      <c r="H51" s="93">
        <f>+' Expense Input'!M16</f>
        <v>0</v>
      </c>
      <c r="I51" s="2" t="str">
        <f t="shared" si="3"/>
        <v/>
      </c>
      <c r="J51" s="93">
        <f t="shared" si="4"/>
        <v>0</v>
      </c>
      <c r="K51" s="93">
        <f t="shared" si="5"/>
        <v>0</v>
      </c>
      <c r="O51" s="29">
        <f t="shared" si="9"/>
        <v>0</v>
      </c>
      <c r="P51" s="29">
        <f t="shared" si="10"/>
        <v>0</v>
      </c>
    </row>
    <row r="52" spans="1:16" x14ac:dyDescent="0.25">
      <c r="A52" s="25"/>
      <c r="B52" s="42">
        <f>+' Expense Input'!B17</f>
        <v>100</v>
      </c>
      <c r="C52" s="42">
        <f>+' Expense Input'!C17</f>
        <v>4000</v>
      </c>
      <c r="D52" s="42">
        <f>+' Expense Input'!D17</f>
        <v>5200</v>
      </c>
      <c r="E52" s="42">
        <f>+' Expense Input'!E17</f>
        <v>690</v>
      </c>
      <c r="F52" s="42"/>
      <c r="G52" s="42" t="str">
        <f>+' Expense Input'!F17</f>
        <v>Software</v>
      </c>
      <c r="H52" s="93">
        <f>+' Expense Input'!M17</f>
        <v>2013.9963382816013</v>
      </c>
      <c r="I52" s="2" t="str">
        <f t="shared" si="3"/>
        <v>*</v>
      </c>
      <c r="J52" s="93">
        <f t="shared" si="4"/>
        <v>2013.9963382816013</v>
      </c>
      <c r="K52" s="93">
        <f t="shared" si="5"/>
        <v>0</v>
      </c>
      <c r="O52" s="29">
        <f t="shared" si="9"/>
        <v>0</v>
      </c>
      <c r="P52" s="29">
        <f t="shared" si="10"/>
        <v>2013.9963382816013</v>
      </c>
    </row>
    <row r="53" spans="1:16" x14ac:dyDescent="0.25">
      <c r="A53" s="25"/>
      <c r="B53" s="42">
        <f>+' Expense Input'!B18</f>
        <v>100</v>
      </c>
      <c r="C53" s="42">
        <f>+' Expense Input'!C18</f>
        <v>4000</v>
      </c>
      <c r="D53" s="42">
        <f>+' Expense Input'!D18</f>
        <v>5200</v>
      </c>
      <c r="E53" s="42">
        <f>+' Expense Input'!E18</f>
        <v>750</v>
      </c>
      <c r="F53" s="42"/>
      <c r="G53" s="42" t="str">
        <f>+' Expense Input'!F18</f>
        <v>ESE Substitute Teacher</v>
      </c>
      <c r="H53" s="93">
        <f>+' Expense Input'!M18</f>
        <v>4102.4088041385521</v>
      </c>
      <c r="I53" s="2" t="str">
        <f t="shared" si="3"/>
        <v>*</v>
      </c>
      <c r="J53" s="93">
        <f t="shared" si="4"/>
        <v>4102.4088041385521</v>
      </c>
      <c r="K53" s="93">
        <f t="shared" si="5"/>
        <v>0</v>
      </c>
      <c r="O53" s="29">
        <f t="shared" si="9"/>
        <v>0</v>
      </c>
      <c r="P53" s="29">
        <f t="shared" si="10"/>
        <v>4102.4088041385521</v>
      </c>
    </row>
    <row r="54" spans="1:16" hidden="1" x14ac:dyDescent="0.25">
      <c r="A54" s="25"/>
      <c r="B54" s="42">
        <f>+' Expense Input'!B19</f>
        <v>495</v>
      </c>
      <c r="C54" s="42">
        <f>+' Expense Input'!C19</f>
        <v>4000</v>
      </c>
      <c r="D54" s="42">
        <f>+' Expense Input'!D19</f>
        <v>5900</v>
      </c>
      <c r="E54" s="42">
        <f>+' Expense Input'!E19</f>
        <v>310</v>
      </c>
      <c r="F54" s="42"/>
      <c r="G54" s="42" t="str">
        <f>+' Expense Input'!F19</f>
        <v>AWD Contracted Services</v>
      </c>
      <c r="H54" s="93">
        <f>+' Expense Input'!M19</f>
        <v>0</v>
      </c>
      <c r="I54" s="2" t="str">
        <f t="shared" si="3"/>
        <v/>
      </c>
      <c r="J54" s="93">
        <f t="shared" si="4"/>
        <v>0</v>
      </c>
      <c r="K54" s="93">
        <f t="shared" si="5"/>
        <v>0</v>
      </c>
      <c r="O54" s="29">
        <f t="shared" si="9"/>
        <v>0</v>
      </c>
      <c r="P54" s="29">
        <f t="shared" si="10"/>
        <v>0</v>
      </c>
    </row>
    <row r="55" spans="1:16" hidden="1" x14ac:dyDescent="0.25">
      <c r="A55" s="25"/>
      <c r="B55" s="42">
        <f>+' Expense Input'!B20</f>
        <v>495</v>
      </c>
      <c r="C55" s="42">
        <f>+' Expense Input'!C20</f>
        <v>4000</v>
      </c>
      <c r="D55" s="42">
        <f>+' Expense Input'!D20</f>
        <v>5900</v>
      </c>
      <c r="E55" s="42">
        <f>+' Expense Input'!E20</f>
        <v>330</v>
      </c>
      <c r="F55" s="42"/>
      <c r="G55" s="42" t="str">
        <f>+' Expense Input'!F20</f>
        <v>AWD Travel/Conferences/Workshop</v>
      </c>
      <c r="H55" s="93">
        <f>+' Expense Input'!M20</f>
        <v>0</v>
      </c>
      <c r="I55" s="2" t="str">
        <f t="shared" ref="I55" si="11">IF(H55&gt;0.49,"*","")</f>
        <v/>
      </c>
      <c r="J55" s="93">
        <f t="shared" ref="J55" si="12">IF(B55=J$6,H55,0)</f>
        <v>0</v>
      </c>
      <c r="K55" s="93">
        <f t="shared" ref="K55" si="13">IF(B55=K$6,H55,0)</f>
        <v>0</v>
      </c>
      <c r="O55" s="29">
        <f t="shared" si="9"/>
        <v>0</v>
      </c>
      <c r="P55" s="29">
        <f t="shared" si="10"/>
        <v>0</v>
      </c>
    </row>
    <row r="56" spans="1:16" hidden="1" x14ac:dyDescent="0.25">
      <c r="A56" s="25"/>
      <c r="B56" s="42"/>
      <c r="C56" s="42"/>
      <c r="D56" s="42"/>
      <c r="E56" s="42"/>
      <c r="F56" s="42"/>
      <c r="G56" s="42"/>
      <c r="H56" s="93"/>
      <c r="I56" s="2" t="str">
        <f t="shared" si="3"/>
        <v/>
      </c>
      <c r="J56" s="93">
        <f t="shared" si="4"/>
        <v>0</v>
      </c>
      <c r="K56" s="93">
        <f t="shared" si="5"/>
        <v>0</v>
      </c>
      <c r="O56" s="29">
        <f t="shared" si="9"/>
        <v>0</v>
      </c>
      <c r="P56" s="29">
        <f t="shared" si="10"/>
        <v>0</v>
      </c>
    </row>
    <row r="57" spans="1:16" x14ac:dyDescent="0.25">
      <c r="A57" s="25"/>
      <c r="B57" s="42"/>
      <c r="C57" s="42"/>
      <c r="D57" s="42"/>
      <c r="E57" s="42"/>
      <c r="F57" s="42"/>
      <c r="G57" s="42"/>
      <c r="I57" s="2" t="str">
        <f>IF(I58="*","*","")</f>
        <v>*</v>
      </c>
      <c r="J57" s="29"/>
      <c r="K57" s="29"/>
      <c r="O57" s="29">
        <f t="shared" si="9"/>
        <v>0</v>
      </c>
      <c r="P57" s="29">
        <f t="shared" si="10"/>
        <v>0</v>
      </c>
    </row>
    <row r="58" spans="1:16" x14ac:dyDescent="0.25">
      <c r="A58" s="25"/>
      <c r="B58" s="15"/>
      <c r="C58" s="15"/>
      <c r="D58" s="15"/>
      <c r="E58" s="15"/>
      <c r="F58" s="15"/>
      <c r="G58" s="21" t="s">
        <v>45</v>
      </c>
      <c r="H58" s="39">
        <f>SUM(H36:H57)</f>
        <v>490275.4550132326</v>
      </c>
      <c r="I58" s="2" t="str">
        <f>IF(H58&gt;0.49,"*","")</f>
        <v>*</v>
      </c>
      <c r="J58" s="39">
        <f t="shared" ref="J58:K58" si="14">SUM(J36:J57)</f>
        <v>490275.4550132326</v>
      </c>
      <c r="K58" s="39">
        <f t="shared" si="14"/>
        <v>0</v>
      </c>
      <c r="O58" s="29"/>
      <c r="P58" s="29">
        <f t="shared" si="10"/>
        <v>0</v>
      </c>
    </row>
    <row r="59" spans="1:16" x14ac:dyDescent="0.25">
      <c r="A59" s="25"/>
      <c r="B59" s="2"/>
      <c r="C59" s="2"/>
      <c r="D59" s="2"/>
      <c r="E59" s="2"/>
      <c r="F59" s="2"/>
      <c r="G59" s="15"/>
      <c r="I59" s="2" t="str">
        <f>IF(I58="*","*","")</f>
        <v>*</v>
      </c>
      <c r="J59" s="29"/>
      <c r="K59" s="29"/>
      <c r="O59" s="29">
        <f t="shared" si="9"/>
        <v>0</v>
      </c>
      <c r="P59" s="29">
        <f t="shared" si="10"/>
        <v>0</v>
      </c>
    </row>
    <row r="60" spans="1:16" hidden="1" x14ac:dyDescent="0.25">
      <c r="A60" s="25">
        <v>1</v>
      </c>
      <c r="B60" s="42">
        <v>100</v>
      </c>
      <c r="C60" s="42">
        <v>4000</v>
      </c>
      <c r="D60" s="42">
        <v>5200</v>
      </c>
      <c r="E60" s="42">
        <v>150</v>
      </c>
      <c r="F60" s="42"/>
      <c r="G60" s="42" t="s">
        <v>283</v>
      </c>
      <c r="H60" s="29">
        <f>Payroll!E92</f>
        <v>0</v>
      </c>
      <c r="I60" s="2" t="str">
        <f t="shared" ref="I60:I65" si="15">IF(H60&gt;0.49,"*","")</f>
        <v/>
      </c>
      <c r="J60" s="93">
        <f t="shared" ref="J60:J67" si="16">IF(B60=J$6,H60,0)</f>
        <v>0</v>
      </c>
      <c r="K60" s="93">
        <f t="shared" ref="K60:K67" si="17">IF(B60=K$6,H60,0)</f>
        <v>0</v>
      </c>
      <c r="O60" s="29">
        <f t="shared" si="9"/>
        <v>0</v>
      </c>
      <c r="P60" s="29">
        <f t="shared" si="10"/>
        <v>0</v>
      </c>
    </row>
    <row r="61" spans="1:16" hidden="1" x14ac:dyDescent="0.25">
      <c r="A61" s="25">
        <v>1</v>
      </c>
      <c r="B61" s="42">
        <v>100</v>
      </c>
      <c r="C61" s="42">
        <v>4000</v>
      </c>
      <c r="D61" s="42">
        <v>5200</v>
      </c>
      <c r="E61" s="42">
        <v>210</v>
      </c>
      <c r="F61" s="42"/>
      <c r="G61" s="42" t="s">
        <v>73</v>
      </c>
      <c r="H61" s="29">
        <f>+Payroll!F92</f>
        <v>0</v>
      </c>
      <c r="I61" s="2" t="str">
        <f t="shared" si="15"/>
        <v/>
      </c>
      <c r="J61" s="93">
        <f t="shared" si="16"/>
        <v>0</v>
      </c>
      <c r="K61" s="93">
        <f t="shared" si="17"/>
        <v>0</v>
      </c>
      <c r="O61" s="29">
        <f t="shared" si="9"/>
        <v>0</v>
      </c>
      <c r="P61" s="29">
        <f t="shared" si="10"/>
        <v>0</v>
      </c>
    </row>
    <row r="62" spans="1:16" hidden="1" x14ac:dyDescent="0.25">
      <c r="A62" s="25">
        <v>1</v>
      </c>
      <c r="B62" s="42">
        <v>100</v>
      </c>
      <c r="C62" s="42">
        <v>4000</v>
      </c>
      <c r="D62" s="42">
        <v>5200</v>
      </c>
      <c r="E62" s="42">
        <v>220</v>
      </c>
      <c r="F62" s="42"/>
      <c r="G62" s="42" t="s">
        <v>74</v>
      </c>
      <c r="H62" s="29">
        <f>+Payroll!H92</f>
        <v>0</v>
      </c>
      <c r="I62" s="2" t="str">
        <f t="shared" si="15"/>
        <v/>
      </c>
      <c r="J62" s="93">
        <f t="shared" si="16"/>
        <v>0</v>
      </c>
      <c r="K62" s="93">
        <f t="shared" si="17"/>
        <v>0</v>
      </c>
      <c r="O62" s="29">
        <f t="shared" si="9"/>
        <v>0</v>
      </c>
      <c r="P62" s="29">
        <f t="shared" si="10"/>
        <v>0</v>
      </c>
    </row>
    <row r="63" spans="1:16" hidden="1" x14ac:dyDescent="0.25">
      <c r="A63" s="25">
        <v>1</v>
      </c>
      <c r="B63" s="42">
        <v>100</v>
      </c>
      <c r="C63" s="42">
        <v>4000</v>
      </c>
      <c r="D63" s="42">
        <v>5200</v>
      </c>
      <c r="E63" s="42">
        <v>230</v>
      </c>
      <c r="F63" s="42"/>
      <c r="G63" s="42" t="s">
        <v>75</v>
      </c>
      <c r="H63" s="29">
        <f>+Payroll!I92</f>
        <v>0</v>
      </c>
      <c r="I63" s="2" t="str">
        <f t="shared" si="15"/>
        <v/>
      </c>
      <c r="J63" s="93">
        <f t="shared" si="16"/>
        <v>0</v>
      </c>
      <c r="K63" s="93">
        <f t="shared" si="17"/>
        <v>0</v>
      </c>
      <c r="O63" s="29">
        <f t="shared" si="9"/>
        <v>0</v>
      </c>
      <c r="P63" s="29">
        <f t="shared" si="10"/>
        <v>0</v>
      </c>
    </row>
    <row r="64" spans="1:16" hidden="1" x14ac:dyDescent="0.25">
      <c r="A64" s="25">
        <v>1</v>
      </c>
      <c r="B64" s="42">
        <v>100</v>
      </c>
      <c r="C64" s="42">
        <v>4000</v>
      </c>
      <c r="D64" s="42">
        <v>5200</v>
      </c>
      <c r="E64" s="42">
        <v>240</v>
      </c>
      <c r="F64" s="42"/>
      <c r="G64" s="42" t="s">
        <v>76</v>
      </c>
      <c r="H64" s="29">
        <f>+Payroll!K92</f>
        <v>0</v>
      </c>
      <c r="I64" s="2" t="str">
        <f t="shared" si="15"/>
        <v/>
      </c>
      <c r="J64" s="93">
        <f t="shared" si="16"/>
        <v>0</v>
      </c>
      <c r="K64" s="93">
        <f t="shared" si="17"/>
        <v>0</v>
      </c>
      <c r="O64" s="29">
        <f t="shared" si="9"/>
        <v>0</v>
      </c>
      <c r="P64" s="29">
        <f t="shared" si="10"/>
        <v>0</v>
      </c>
    </row>
    <row r="65" spans="1:16" hidden="1" x14ac:dyDescent="0.25">
      <c r="A65" s="25">
        <v>1</v>
      </c>
      <c r="B65" s="42">
        <v>100</v>
      </c>
      <c r="C65" s="42">
        <v>4000</v>
      </c>
      <c r="D65" s="42">
        <v>5200</v>
      </c>
      <c r="E65" s="42">
        <v>250</v>
      </c>
      <c r="F65" s="42"/>
      <c r="G65" s="42" t="s">
        <v>77</v>
      </c>
      <c r="H65" s="29">
        <f>+Payroll!L92</f>
        <v>0</v>
      </c>
      <c r="I65" s="2" t="str">
        <f t="shared" si="15"/>
        <v/>
      </c>
      <c r="J65" s="93">
        <f t="shared" si="16"/>
        <v>0</v>
      </c>
      <c r="K65" s="93">
        <f t="shared" si="17"/>
        <v>0</v>
      </c>
      <c r="O65" s="29">
        <f t="shared" si="9"/>
        <v>0</v>
      </c>
      <c r="P65" s="29">
        <f t="shared" si="10"/>
        <v>0</v>
      </c>
    </row>
    <row r="66" spans="1:16" hidden="1" x14ac:dyDescent="0.25">
      <c r="A66" s="25"/>
      <c r="B66" s="42"/>
      <c r="C66" s="42"/>
      <c r="D66" s="42"/>
      <c r="E66" s="42"/>
      <c r="F66" s="42"/>
      <c r="G66" s="42"/>
      <c r="H66" s="93"/>
      <c r="I66" s="2" t="str">
        <f>IF(H66&gt;0.49,"*","")</f>
        <v/>
      </c>
      <c r="J66" s="93">
        <f t="shared" si="16"/>
        <v>0</v>
      </c>
      <c r="K66" s="93">
        <f t="shared" si="17"/>
        <v>0</v>
      </c>
      <c r="O66" s="29">
        <f t="shared" si="9"/>
        <v>0</v>
      </c>
      <c r="P66" s="29">
        <f t="shared" si="10"/>
        <v>0</v>
      </c>
    </row>
    <row r="67" spans="1:16" hidden="1" x14ac:dyDescent="0.25">
      <c r="A67" s="25"/>
      <c r="B67" s="42"/>
      <c r="C67" s="42"/>
      <c r="D67" s="42"/>
      <c r="E67" s="42"/>
      <c r="F67" s="42"/>
      <c r="G67" s="42"/>
      <c r="H67" s="93"/>
      <c r="I67" s="2" t="str">
        <f>IF(H67&gt;0.49,"*","")</f>
        <v/>
      </c>
      <c r="J67" s="93">
        <f t="shared" si="16"/>
        <v>0</v>
      </c>
      <c r="K67" s="93">
        <f t="shared" si="17"/>
        <v>0</v>
      </c>
      <c r="O67" s="29">
        <f t="shared" si="9"/>
        <v>0</v>
      </c>
      <c r="P67" s="29">
        <f t="shared" si="10"/>
        <v>0</v>
      </c>
    </row>
    <row r="68" spans="1:16" hidden="1" x14ac:dyDescent="0.25">
      <c r="A68" s="25"/>
      <c r="B68" s="42"/>
      <c r="C68" s="42"/>
      <c r="D68" s="42"/>
      <c r="E68" s="42"/>
      <c r="F68" s="42"/>
      <c r="G68" s="42"/>
      <c r="H68" s="43"/>
      <c r="I68" s="2" t="str">
        <f>IF(I69="*","*","")</f>
        <v/>
      </c>
      <c r="J68" s="43"/>
      <c r="K68" s="43"/>
      <c r="O68" s="29">
        <f t="shared" si="9"/>
        <v>0</v>
      </c>
      <c r="P68" s="29">
        <f t="shared" si="10"/>
        <v>0</v>
      </c>
    </row>
    <row r="69" spans="1:16" hidden="1" x14ac:dyDescent="0.25">
      <c r="A69" s="25"/>
      <c r="G69" s="21" t="s">
        <v>45</v>
      </c>
      <c r="H69" s="39">
        <f>SUM(H60:H68)</f>
        <v>0</v>
      </c>
      <c r="I69" s="2" t="str">
        <f>IF(H69&gt;0.49,"*","")</f>
        <v/>
      </c>
      <c r="J69" s="39">
        <f t="shared" ref="J69:K69" si="18">SUM(J60:J68)</f>
        <v>0</v>
      </c>
      <c r="K69" s="39">
        <f t="shared" si="18"/>
        <v>0</v>
      </c>
      <c r="O69" s="29">
        <f t="shared" si="9"/>
        <v>0</v>
      </c>
      <c r="P69" s="29">
        <f t="shared" si="10"/>
        <v>0</v>
      </c>
    </row>
    <row r="70" spans="1:16" hidden="1" x14ac:dyDescent="0.25">
      <c r="A70" s="25"/>
      <c r="B70" s="2"/>
      <c r="C70" s="2"/>
      <c r="D70" s="2"/>
      <c r="E70" s="2"/>
      <c r="F70" s="2"/>
      <c r="G70" s="15"/>
      <c r="I70" s="2" t="str">
        <f>IF(I69="*","*","")</f>
        <v/>
      </c>
      <c r="J70" s="29"/>
      <c r="K70" s="29"/>
      <c r="O70" s="29">
        <f t="shared" si="9"/>
        <v>0</v>
      </c>
      <c r="P70" s="29">
        <f t="shared" si="10"/>
        <v>0</v>
      </c>
    </row>
    <row r="71" spans="1:16" x14ac:dyDescent="0.25">
      <c r="A71" s="25">
        <v>1</v>
      </c>
      <c r="B71" s="42">
        <v>100</v>
      </c>
      <c r="C71" s="42">
        <v>4000</v>
      </c>
      <c r="D71" s="42">
        <v>6100</v>
      </c>
      <c r="E71" s="42">
        <v>130</v>
      </c>
      <c r="F71" s="42"/>
      <c r="G71" s="42" t="s">
        <v>7</v>
      </c>
      <c r="H71" s="29">
        <f>SUM(Payroll!E$101)</f>
        <v>59443.199999999997</v>
      </c>
      <c r="I71" s="2" t="str">
        <f t="shared" ref="I71:I77" si="19">IF(H71&gt;0.49,"*","")</f>
        <v>*</v>
      </c>
      <c r="J71" s="93">
        <f t="shared" ref="J71:J77" si="20">IF(B71=J$6,H71,0)</f>
        <v>59443.199999999997</v>
      </c>
      <c r="K71" s="93">
        <f t="shared" ref="K71:K77" si="21">IF(B71=K$6,H71,0)</f>
        <v>0</v>
      </c>
      <c r="O71" s="29">
        <f t="shared" si="9"/>
        <v>59443.199999999997</v>
      </c>
      <c r="P71" s="29">
        <f t="shared" si="10"/>
        <v>0</v>
      </c>
    </row>
    <row r="72" spans="1:16" x14ac:dyDescent="0.25">
      <c r="A72" s="25">
        <v>1</v>
      </c>
      <c r="B72" s="42">
        <v>100</v>
      </c>
      <c r="C72" s="42">
        <v>4000</v>
      </c>
      <c r="D72" s="42">
        <v>6100</v>
      </c>
      <c r="E72" s="42">
        <v>210</v>
      </c>
      <c r="F72" s="42"/>
      <c r="G72" s="42" t="s">
        <v>73</v>
      </c>
      <c r="H72" s="29">
        <f>SUM(Payroll!F$101)</f>
        <v>4285.8547199999994</v>
      </c>
      <c r="I72" s="2" t="str">
        <f t="shared" si="19"/>
        <v>*</v>
      </c>
      <c r="J72" s="93">
        <f t="shared" si="20"/>
        <v>4285.8547199999994</v>
      </c>
      <c r="K72" s="93">
        <f t="shared" si="21"/>
        <v>0</v>
      </c>
      <c r="O72" s="29">
        <f t="shared" si="9"/>
        <v>4285.8547199999994</v>
      </c>
      <c r="P72" s="29">
        <f t="shared" si="10"/>
        <v>0</v>
      </c>
    </row>
    <row r="73" spans="1:16" x14ac:dyDescent="0.25">
      <c r="A73" s="25">
        <v>1</v>
      </c>
      <c r="B73" s="42">
        <v>100</v>
      </c>
      <c r="C73" s="42">
        <v>4000</v>
      </c>
      <c r="D73" s="42">
        <v>6100</v>
      </c>
      <c r="E73" s="42">
        <v>220</v>
      </c>
      <c r="F73" s="42"/>
      <c r="G73" s="42" t="s">
        <v>74</v>
      </c>
      <c r="H73" s="29">
        <f>SUM(Payroll!H$101)</f>
        <v>4547.4048000000003</v>
      </c>
      <c r="I73" s="2" t="str">
        <f t="shared" si="19"/>
        <v>*</v>
      </c>
      <c r="J73" s="93">
        <f t="shared" si="20"/>
        <v>4547.4048000000003</v>
      </c>
      <c r="K73" s="93">
        <f t="shared" si="21"/>
        <v>0</v>
      </c>
      <c r="O73" s="29">
        <f t="shared" si="9"/>
        <v>4547.4048000000003</v>
      </c>
      <c r="P73" s="29">
        <f t="shared" si="10"/>
        <v>0</v>
      </c>
    </row>
    <row r="74" spans="1:16" x14ac:dyDescent="0.25">
      <c r="A74" s="25">
        <v>1</v>
      </c>
      <c r="B74" s="42">
        <v>100</v>
      </c>
      <c r="C74" s="42">
        <v>4000</v>
      </c>
      <c r="D74" s="42">
        <v>6100</v>
      </c>
      <c r="E74" s="42">
        <v>230</v>
      </c>
      <c r="F74" s="42"/>
      <c r="G74" s="42" t="s">
        <v>75</v>
      </c>
      <c r="H74" s="29">
        <f>SUM(Payroll!I$101)</f>
        <v>17400.57</v>
      </c>
      <c r="I74" s="2" t="str">
        <f t="shared" si="19"/>
        <v>*</v>
      </c>
      <c r="J74" s="93">
        <f t="shared" si="20"/>
        <v>17400.57</v>
      </c>
      <c r="K74" s="93">
        <f t="shared" si="21"/>
        <v>0</v>
      </c>
      <c r="O74" s="29">
        <f t="shared" si="9"/>
        <v>17400.57</v>
      </c>
      <c r="P74" s="29">
        <f t="shared" si="10"/>
        <v>0</v>
      </c>
    </row>
    <row r="75" spans="1:16" x14ac:dyDescent="0.25">
      <c r="A75" s="25">
        <v>1</v>
      </c>
      <c r="B75" s="42">
        <v>100</v>
      </c>
      <c r="C75" s="42">
        <v>4000</v>
      </c>
      <c r="D75" s="42">
        <v>6100</v>
      </c>
      <c r="E75" s="42">
        <v>240</v>
      </c>
      <c r="F75" s="42"/>
      <c r="G75" s="42" t="s">
        <v>76</v>
      </c>
      <c r="H75" s="29">
        <f>SUM(Payroll!K$101)</f>
        <v>297.21600000000001</v>
      </c>
      <c r="I75" s="2" t="str">
        <f t="shared" si="19"/>
        <v>*</v>
      </c>
      <c r="J75" s="93">
        <f t="shared" si="20"/>
        <v>297.21600000000001</v>
      </c>
      <c r="K75" s="93">
        <f t="shared" si="21"/>
        <v>0</v>
      </c>
      <c r="O75" s="29">
        <f t="shared" si="9"/>
        <v>297.21600000000001</v>
      </c>
      <c r="P75" s="29">
        <f t="shared" si="10"/>
        <v>0</v>
      </c>
    </row>
    <row r="76" spans="1:16" x14ac:dyDescent="0.25">
      <c r="A76" s="25">
        <v>1</v>
      </c>
      <c r="B76" s="42">
        <v>100</v>
      </c>
      <c r="C76" s="42">
        <v>4000</v>
      </c>
      <c r="D76" s="42">
        <v>6100</v>
      </c>
      <c r="E76" s="42">
        <v>250</v>
      </c>
      <c r="F76" s="42"/>
      <c r="G76" s="42" t="s">
        <v>77</v>
      </c>
      <c r="H76" s="29">
        <f>SUM(Payroll!L$101)</f>
        <v>1120</v>
      </c>
      <c r="I76" s="2" t="str">
        <f t="shared" si="19"/>
        <v>*</v>
      </c>
      <c r="J76" s="93">
        <f t="shared" si="20"/>
        <v>1120</v>
      </c>
      <c r="K76" s="93">
        <f t="shared" si="21"/>
        <v>0</v>
      </c>
      <c r="O76" s="29">
        <f t="shared" si="9"/>
        <v>1120</v>
      </c>
      <c r="P76" s="29">
        <f t="shared" si="10"/>
        <v>0</v>
      </c>
    </row>
    <row r="77" spans="1:16" hidden="1" x14ac:dyDescent="0.25">
      <c r="A77" s="25"/>
      <c r="B77" s="42">
        <f>+' Expense Input'!B21</f>
        <v>495</v>
      </c>
      <c r="C77" s="42">
        <f>+' Expense Input'!C21</f>
        <v>4000</v>
      </c>
      <c r="D77" s="42">
        <f>+' Expense Input'!D21</f>
        <v>6130</v>
      </c>
      <c r="E77" s="42">
        <f>+' Expense Input'!E21</f>
        <v>310</v>
      </c>
      <c r="F77" s="42"/>
      <c r="G77" s="42" t="str">
        <f>+' Expense Input'!F21</f>
        <v>AWD Health Services</v>
      </c>
      <c r="H77" s="93">
        <f>+' Expense Input'!M21</f>
        <v>0</v>
      </c>
      <c r="I77" s="2" t="str">
        <f t="shared" si="19"/>
        <v/>
      </c>
      <c r="J77" s="93">
        <f t="shared" si="20"/>
        <v>0</v>
      </c>
      <c r="K77" s="93">
        <f t="shared" si="21"/>
        <v>0</v>
      </c>
      <c r="O77" s="29">
        <f t="shared" si="9"/>
        <v>0</v>
      </c>
      <c r="P77" s="29">
        <f t="shared" si="10"/>
        <v>0</v>
      </c>
    </row>
    <row r="78" spans="1:16" x14ac:dyDescent="0.25">
      <c r="A78" s="25"/>
      <c r="B78" s="42"/>
      <c r="C78" s="42"/>
      <c r="D78" s="42"/>
      <c r="E78" s="42"/>
      <c r="F78" s="42"/>
      <c r="G78" s="42"/>
      <c r="I78" s="2" t="str">
        <f>IF(I79="*","*","")</f>
        <v>*</v>
      </c>
      <c r="J78" s="29"/>
      <c r="K78" s="29"/>
      <c r="O78" s="29">
        <f t="shared" si="9"/>
        <v>0</v>
      </c>
      <c r="P78" s="29">
        <f t="shared" si="10"/>
        <v>0</v>
      </c>
    </row>
    <row r="79" spans="1:16" x14ac:dyDescent="0.25">
      <c r="A79" s="25"/>
      <c r="G79" s="21" t="s">
        <v>46</v>
      </c>
      <c r="H79" s="39">
        <f>SUM(H71:H78)</f>
        <v>87094.245520000011</v>
      </c>
      <c r="I79" s="2" t="str">
        <f>IF(H79&gt;0.49,"*","")</f>
        <v>*</v>
      </c>
      <c r="J79" s="39">
        <f t="shared" ref="J79:K79" si="22">SUM(J71:J78)</f>
        <v>87094.245520000011</v>
      </c>
      <c r="K79" s="39">
        <f t="shared" si="22"/>
        <v>0</v>
      </c>
      <c r="O79" s="29"/>
      <c r="P79" s="29">
        <f t="shared" si="10"/>
        <v>0</v>
      </c>
    </row>
    <row r="80" spans="1:16" x14ac:dyDescent="0.25">
      <c r="A80" s="25"/>
      <c r="B80" s="2"/>
      <c r="C80" s="2"/>
      <c r="D80" s="2"/>
      <c r="E80" s="2"/>
      <c r="F80" s="2"/>
      <c r="G80" s="16"/>
      <c r="I80" s="2" t="str">
        <f>IF(I79="*","*","")</f>
        <v>*</v>
      </c>
      <c r="J80" s="29"/>
      <c r="K80" s="29"/>
      <c r="O80" s="29">
        <f t="shared" si="9"/>
        <v>0</v>
      </c>
      <c r="P80" s="29">
        <f t="shared" si="10"/>
        <v>0</v>
      </c>
    </row>
    <row r="81" spans="1:16" hidden="1" x14ac:dyDescent="0.25">
      <c r="A81" s="25">
        <v>1</v>
      </c>
      <c r="B81" s="42">
        <v>100</v>
      </c>
      <c r="C81" s="42">
        <v>4000</v>
      </c>
      <c r="D81" s="42">
        <v>6200</v>
      </c>
      <c r="E81" s="42">
        <v>130</v>
      </c>
      <c r="F81" s="42"/>
      <c r="G81" s="42" t="s">
        <v>91</v>
      </c>
      <c r="H81" s="29">
        <f>Payroll!E105</f>
        <v>0</v>
      </c>
      <c r="I81" s="2" t="str">
        <f t="shared" ref="I81:I86" si="23">IF(H81&gt;0.49,"*","")</f>
        <v/>
      </c>
      <c r="J81" s="93">
        <f t="shared" ref="J81:J86" si="24">IF(B81=J$6,H81,0)</f>
        <v>0</v>
      </c>
      <c r="K81" s="93">
        <f t="shared" ref="K81:K86" si="25">IF(B81=K$6,H81,0)</f>
        <v>0</v>
      </c>
      <c r="O81" s="29">
        <f t="shared" si="9"/>
        <v>0</v>
      </c>
      <c r="P81" s="29">
        <f t="shared" si="10"/>
        <v>0</v>
      </c>
    </row>
    <row r="82" spans="1:16" hidden="1" x14ac:dyDescent="0.25">
      <c r="A82" s="25">
        <v>1</v>
      </c>
      <c r="B82" s="42">
        <v>100</v>
      </c>
      <c r="C82" s="42">
        <v>4000</v>
      </c>
      <c r="D82" s="42">
        <v>6200</v>
      </c>
      <c r="E82" s="42">
        <v>210</v>
      </c>
      <c r="F82" s="42"/>
      <c r="G82" s="42" t="s">
        <v>73</v>
      </c>
      <c r="H82" s="29">
        <f>Payroll!F105</f>
        <v>0</v>
      </c>
      <c r="I82" s="2" t="str">
        <f t="shared" si="23"/>
        <v/>
      </c>
      <c r="J82" s="93">
        <f t="shared" si="24"/>
        <v>0</v>
      </c>
      <c r="K82" s="93">
        <f t="shared" si="25"/>
        <v>0</v>
      </c>
      <c r="O82" s="29">
        <f t="shared" si="9"/>
        <v>0</v>
      </c>
      <c r="P82" s="29">
        <f t="shared" si="10"/>
        <v>0</v>
      </c>
    </row>
    <row r="83" spans="1:16" hidden="1" x14ac:dyDescent="0.25">
      <c r="A83" s="25">
        <v>1</v>
      </c>
      <c r="B83" s="42">
        <v>100</v>
      </c>
      <c r="C83" s="42">
        <v>4000</v>
      </c>
      <c r="D83" s="42">
        <v>6200</v>
      </c>
      <c r="E83" s="42">
        <v>220</v>
      </c>
      <c r="F83" s="42"/>
      <c r="G83" s="42" t="s">
        <v>74</v>
      </c>
      <c r="H83" s="29">
        <f>Payroll!H105</f>
        <v>0</v>
      </c>
      <c r="I83" s="2" t="str">
        <f t="shared" si="23"/>
        <v/>
      </c>
      <c r="J83" s="93">
        <f t="shared" si="24"/>
        <v>0</v>
      </c>
      <c r="K83" s="93">
        <f t="shared" si="25"/>
        <v>0</v>
      </c>
      <c r="O83" s="29">
        <f t="shared" si="9"/>
        <v>0</v>
      </c>
      <c r="P83" s="29">
        <f t="shared" si="10"/>
        <v>0</v>
      </c>
    </row>
    <row r="84" spans="1:16" hidden="1" x14ac:dyDescent="0.25">
      <c r="A84" s="25">
        <v>1</v>
      </c>
      <c r="B84" s="42">
        <v>100</v>
      </c>
      <c r="C84" s="42">
        <v>4000</v>
      </c>
      <c r="D84" s="42">
        <v>6200</v>
      </c>
      <c r="E84" s="42">
        <v>230</v>
      </c>
      <c r="F84" s="42"/>
      <c r="G84" s="42" t="s">
        <v>75</v>
      </c>
      <c r="H84" s="29">
        <f>Payroll!I105</f>
        <v>0</v>
      </c>
      <c r="I84" s="2" t="str">
        <f t="shared" si="23"/>
        <v/>
      </c>
      <c r="J84" s="93">
        <f t="shared" si="24"/>
        <v>0</v>
      </c>
      <c r="K84" s="93">
        <f t="shared" si="25"/>
        <v>0</v>
      </c>
      <c r="O84" s="29">
        <f t="shared" si="9"/>
        <v>0</v>
      </c>
      <c r="P84" s="29">
        <f t="shared" si="10"/>
        <v>0</v>
      </c>
    </row>
    <row r="85" spans="1:16" ht="12" hidden="1" customHeight="1" x14ac:dyDescent="0.25">
      <c r="A85" s="25">
        <v>1</v>
      </c>
      <c r="B85" s="42">
        <v>100</v>
      </c>
      <c r="C85" s="42">
        <v>4000</v>
      </c>
      <c r="D85" s="42">
        <v>6200</v>
      </c>
      <c r="E85" s="42">
        <v>240</v>
      </c>
      <c r="F85" s="42"/>
      <c r="G85" s="42" t="s">
        <v>76</v>
      </c>
      <c r="H85" s="29">
        <f>Payroll!K105</f>
        <v>0</v>
      </c>
      <c r="I85" s="2" t="str">
        <f t="shared" si="23"/>
        <v/>
      </c>
      <c r="J85" s="93">
        <f t="shared" si="24"/>
        <v>0</v>
      </c>
      <c r="K85" s="93">
        <f t="shared" si="25"/>
        <v>0</v>
      </c>
      <c r="O85" s="29">
        <f t="shared" si="9"/>
        <v>0</v>
      </c>
      <c r="P85" s="29">
        <f t="shared" si="10"/>
        <v>0</v>
      </c>
    </row>
    <row r="86" spans="1:16" hidden="1" x14ac:dyDescent="0.25">
      <c r="A86" s="25">
        <v>1</v>
      </c>
      <c r="B86" s="42">
        <v>100</v>
      </c>
      <c r="C86" s="42">
        <v>4000</v>
      </c>
      <c r="D86" s="42">
        <v>6200</v>
      </c>
      <c r="E86" s="42">
        <v>250</v>
      </c>
      <c r="F86" s="42"/>
      <c r="G86" s="42" t="s">
        <v>77</v>
      </c>
      <c r="H86" s="29">
        <f>Payroll!L105</f>
        <v>0</v>
      </c>
      <c r="I86" s="2" t="str">
        <f t="shared" si="23"/>
        <v/>
      </c>
      <c r="J86" s="93">
        <f t="shared" si="24"/>
        <v>0</v>
      </c>
      <c r="K86" s="93">
        <f t="shared" si="25"/>
        <v>0</v>
      </c>
      <c r="O86" s="29">
        <f t="shared" si="9"/>
        <v>0</v>
      </c>
      <c r="P86" s="29">
        <f t="shared" si="10"/>
        <v>0</v>
      </c>
    </row>
    <row r="87" spans="1:16" hidden="1" x14ac:dyDescent="0.25">
      <c r="A87" s="25"/>
      <c r="B87" s="42"/>
      <c r="C87" s="42"/>
      <c r="D87" s="42"/>
      <c r="E87" s="42"/>
      <c r="F87" s="42"/>
      <c r="G87" s="42"/>
      <c r="I87" s="2" t="str">
        <f>IF(I88="*","*","")</f>
        <v/>
      </c>
      <c r="J87" s="29"/>
      <c r="K87" s="29"/>
      <c r="O87" s="29">
        <f t="shared" si="9"/>
        <v>0</v>
      </c>
      <c r="P87" s="29">
        <f t="shared" si="10"/>
        <v>0</v>
      </c>
    </row>
    <row r="88" spans="1:16" hidden="1" x14ac:dyDescent="0.25">
      <c r="A88" s="25"/>
      <c r="G88" s="21" t="s">
        <v>47</v>
      </c>
      <c r="H88" s="39">
        <f>SUM(H81:H87)</f>
        <v>0</v>
      </c>
      <c r="I88" s="2" t="str">
        <f>IF(H88&gt;0.49,"*","")</f>
        <v/>
      </c>
      <c r="J88" s="39">
        <f t="shared" ref="J88:K88" si="26">SUM(J81:J87)</f>
        <v>0</v>
      </c>
      <c r="K88" s="39">
        <f t="shared" si="26"/>
        <v>0</v>
      </c>
      <c r="O88" s="29">
        <f t="shared" si="9"/>
        <v>0</v>
      </c>
      <c r="P88" s="29">
        <f t="shared" si="10"/>
        <v>0</v>
      </c>
    </row>
    <row r="89" spans="1:16" hidden="1" x14ac:dyDescent="0.25">
      <c r="A89" s="25"/>
      <c r="B89" s="2"/>
      <c r="C89" s="2"/>
      <c r="D89" s="2"/>
      <c r="E89" s="2"/>
      <c r="F89" s="2"/>
      <c r="G89" s="16"/>
      <c r="I89" s="2" t="str">
        <f>IF(I88="*","*","")</f>
        <v/>
      </c>
      <c r="J89" s="29"/>
      <c r="K89" s="29"/>
      <c r="O89" s="29">
        <f t="shared" si="9"/>
        <v>0</v>
      </c>
      <c r="P89" s="29">
        <f t="shared" si="10"/>
        <v>0</v>
      </c>
    </row>
    <row r="90" spans="1:16" ht="12" hidden="1" customHeight="1" x14ac:dyDescent="0.25">
      <c r="A90" s="25"/>
      <c r="B90" s="42">
        <f>+' Expense Input'!B22</f>
        <v>100</v>
      </c>
      <c r="C90" s="42">
        <f>+' Expense Input'!C22</f>
        <v>4000</v>
      </c>
      <c r="D90" s="42">
        <f>+' Expense Input'!D22</f>
        <v>6300</v>
      </c>
      <c r="E90" s="42">
        <f>+' Expense Input'!E22</f>
        <v>590</v>
      </c>
      <c r="F90" s="42"/>
      <c r="G90" s="42" t="str">
        <f>+' Expense Input'!F22</f>
        <v>Testing and Assessment</v>
      </c>
      <c r="H90" s="93">
        <f>+' Expense Input'!M22</f>
        <v>0</v>
      </c>
      <c r="I90" s="2" t="str">
        <f>IF(H90&gt;0.49,"*","")</f>
        <v/>
      </c>
      <c r="J90" s="93">
        <f>IF(B90=J$6,H90,0)</f>
        <v>0</v>
      </c>
      <c r="K90" s="93">
        <f>IF(B90=K$6,H90,0)</f>
        <v>0</v>
      </c>
      <c r="O90" s="29">
        <f t="shared" si="9"/>
        <v>0</v>
      </c>
      <c r="P90" s="29">
        <f t="shared" si="10"/>
        <v>0</v>
      </c>
    </row>
    <row r="91" spans="1:16" hidden="1" x14ac:dyDescent="0.25">
      <c r="A91" s="25"/>
      <c r="B91" s="2"/>
      <c r="C91" s="2"/>
      <c r="D91" s="2"/>
      <c r="E91" s="2"/>
      <c r="F91" s="2"/>
      <c r="G91" s="85"/>
      <c r="H91" s="43"/>
      <c r="I91" s="2" t="str">
        <f>IF(I92="*","*","")</f>
        <v/>
      </c>
      <c r="J91" s="43"/>
      <c r="K91" s="43"/>
      <c r="O91" s="29">
        <f t="shared" si="9"/>
        <v>0</v>
      </c>
      <c r="P91" s="29">
        <f t="shared" si="10"/>
        <v>0</v>
      </c>
    </row>
    <row r="92" spans="1:16" hidden="1" x14ac:dyDescent="0.25">
      <c r="A92" s="25"/>
      <c r="G92" s="21" t="s">
        <v>48</v>
      </c>
      <c r="H92" s="39">
        <f>SUM(H90:H91)</f>
        <v>0</v>
      </c>
      <c r="I92" s="2" t="str">
        <f>IF(H92&gt;0.49,"*","")</f>
        <v/>
      </c>
      <c r="J92" s="39">
        <f t="shared" ref="J92:K92" si="27">SUM(J90:J91)</f>
        <v>0</v>
      </c>
      <c r="K92" s="39">
        <f t="shared" si="27"/>
        <v>0</v>
      </c>
      <c r="O92" s="29"/>
      <c r="P92" s="29">
        <f t="shared" si="10"/>
        <v>0</v>
      </c>
    </row>
    <row r="93" spans="1:16" hidden="1" x14ac:dyDescent="0.25">
      <c r="A93" s="25"/>
      <c r="G93" s="21"/>
      <c r="H93" s="41"/>
      <c r="I93" s="2" t="str">
        <f>IF(I92="*","*","")</f>
        <v/>
      </c>
      <c r="J93" s="41"/>
      <c r="K93" s="41"/>
      <c r="O93" s="29">
        <f t="shared" si="9"/>
        <v>0</v>
      </c>
      <c r="P93" s="29">
        <f t="shared" si="10"/>
        <v>0</v>
      </c>
    </row>
    <row r="94" spans="1:16" ht="12" hidden="1" customHeight="1" x14ac:dyDescent="0.25">
      <c r="A94" s="25"/>
      <c r="B94" s="42"/>
      <c r="C94" s="42"/>
      <c r="D94" s="42"/>
      <c r="E94" s="42"/>
      <c r="F94" s="42"/>
      <c r="G94" s="42"/>
      <c r="H94" s="93"/>
      <c r="I94" s="2" t="str">
        <f>IF(H94&gt;0.49,"*","")</f>
        <v/>
      </c>
      <c r="J94" s="93">
        <f>IF(B94=J$6,H94,0)</f>
        <v>0</v>
      </c>
      <c r="K94" s="93">
        <f>IF(B94=K$6,H94,0)</f>
        <v>0</v>
      </c>
      <c r="O94" s="29">
        <f t="shared" si="9"/>
        <v>0</v>
      </c>
      <c r="P94" s="29">
        <f t="shared" si="10"/>
        <v>0</v>
      </c>
    </row>
    <row r="95" spans="1:16" ht="12" customHeight="1" x14ac:dyDescent="0.25">
      <c r="A95" s="25"/>
      <c r="B95" s="42">
        <f>+' Expense Input'!B23</f>
        <v>100</v>
      </c>
      <c r="C95" s="42">
        <f>+' Expense Input'!C23</f>
        <v>4000</v>
      </c>
      <c r="D95" s="42">
        <f>+' Expense Input'!D23</f>
        <v>6400</v>
      </c>
      <c r="E95" s="42">
        <f>+' Expense Input'!E23</f>
        <v>310</v>
      </c>
      <c r="F95" s="42"/>
      <c r="G95" s="42" t="str">
        <f>+' Expense Input'!F23</f>
        <v>Staff Development</v>
      </c>
      <c r="H95" s="93">
        <f>+' Expense Input'!M23</f>
        <v>6418.3169230769226</v>
      </c>
      <c r="I95" s="2" t="str">
        <f>IF(H95&gt;0.49,"*","")</f>
        <v>*</v>
      </c>
      <c r="J95" s="93">
        <f>IF(B95=J$6,H95,0)</f>
        <v>6418.3169230769226</v>
      </c>
      <c r="K95" s="93">
        <f>IF(B95=K$6,H95,0)</f>
        <v>0</v>
      </c>
      <c r="O95" s="29">
        <f t="shared" si="9"/>
        <v>0</v>
      </c>
      <c r="P95" s="29">
        <f t="shared" si="10"/>
        <v>6418.3169230769226</v>
      </c>
    </row>
    <row r="96" spans="1:16" ht="12" customHeight="1" x14ac:dyDescent="0.25">
      <c r="A96" s="25"/>
      <c r="B96" s="42"/>
      <c r="C96" s="42"/>
      <c r="D96" s="42"/>
      <c r="E96" s="42"/>
      <c r="F96" s="42"/>
      <c r="G96" s="42"/>
      <c r="H96" s="43"/>
      <c r="I96" s="2" t="str">
        <f>IF(I97="*","*","")</f>
        <v>*</v>
      </c>
      <c r="J96" s="43"/>
      <c r="K96" s="43"/>
      <c r="O96" s="29">
        <f t="shared" si="9"/>
        <v>0</v>
      </c>
      <c r="P96" s="29">
        <f t="shared" si="10"/>
        <v>0</v>
      </c>
    </row>
    <row r="97" spans="1:16" x14ac:dyDescent="0.25">
      <c r="A97" s="25"/>
      <c r="G97" s="21" t="s">
        <v>49</v>
      </c>
      <c r="H97" s="39">
        <f>SUM(H95:H96)</f>
        <v>6418.3169230769226</v>
      </c>
      <c r="I97" s="2" t="str">
        <f>IF(H97&gt;0.49,"*","")</f>
        <v>*</v>
      </c>
      <c r="J97" s="39">
        <f t="shared" ref="J97:K97" si="28">SUM(J95:J96)</f>
        <v>6418.3169230769226</v>
      </c>
      <c r="K97" s="39">
        <f t="shared" si="28"/>
        <v>0</v>
      </c>
      <c r="O97" s="29"/>
      <c r="P97" s="29">
        <f t="shared" si="10"/>
        <v>0</v>
      </c>
    </row>
    <row r="98" spans="1:16" x14ac:dyDescent="0.25">
      <c r="A98" s="25"/>
      <c r="G98" s="5"/>
      <c r="I98" s="2" t="str">
        <f>I97</f>
        <v>*</v>
      </c>
      <c r="J98" s="29"/>
      <c r="K98" s="29"/>
      <c r="O98" s="29">
        <f t="shared" si="9"/>
        <v>0</v>
      </c>
      <c r="P98" s="29">
        <f t="shared" si="10"/>
        <v>0</v>
      </c>
    </row>
    <row r="99" spans="1:16" hidden="1" x14ac:dyDescent="0.25">
      <c r="A99" s="25"/>
      <c r="B99" s="42"/>
      <c r="C99" s="42"/>
      <c r="D99" s="42"/>
      <c r="E99" s="42"/>
      <c r="F99" s="42"/>
      <c r="G99" s="42"/>
      <c r="H99" s="93"/>
      <c r="I99" s="2" t="str">
        <f t="shared" ref="I99:I108" si="29">IF(H99&gt;0.49,"*","")</f>
        <v/>
      </c>
      <c r="J99" s="93">
        <f t="shared" ref="J99:J108" si="30">IF(B99=J$6,H99,0)</f>
        <v>0</v>
      </c>
      <c r="K99" s="93">
        <f t="shared" ref="K99:K108" si="31">IF(B99=K$6,H99,0)</f>
        <v>0</v>
      </c>
      <c r="O99" s="29">
        <f t="shared" si="9"/>
        <v>0</v>
      </c>
      <c r="P99" s="29">
        <f t="shared" si="10"/>
        <v>0</v>
      </c>
    </row>
    <row r="100" spans="1:16" hidden="1" x14ac:dyDescent="0.25">
      <c r="A100" s="25"/>
      <c r="B100" s="42"/>
      <c r="C100" s="42"/>
      <c r="D100" s="42"/>
      <c r="E100" s="42"/>
      <c r="F100" s="42"/>
      <c r="G100" s="42"/>
      <c r="H100" s="93"/>
      <c r="I100" s="2" t="str">
        <f t="shared" si="29"/>
        <v/>
      </c>
      <c r="J100" s="93">
        <f t="shared" si="30"/>
        <v>0</v>
      </c>
      <c r="K100" s="93">
        <f t="shared" si="31"/>
        <v>0</v>
      </c>
      <c r="O100" s="29">
        <f t="shared" si="9"/>
        <v>0</v>
      </c>
      <c r="P100" s="29">
        <f t="shared" si="10"/>
        <v>0</v>
      </c>
    </row>
    <row r="101" spans="1:16" hidden="1" x14ac:dyDescent="0.25">
      <c r="A101" s="25"/>
      <c r="B101" s="42">
        <f>' Expense Input'!B24</f>
        <v>100</v>
      </c>
      <c r="C101" s="42">
        <f>' Expense Input'!C24</f>
        <v>4000</v>
      </c>
      <c r="D101" s="42">
        <f>' Expense Input'!D24</f>
        <v>6500</v>
      </c>
      <c r="E101" s="42">
        <f>' Expense Input'!E24</f>
        <v>310</v>
      </c>
      <c r="F101" s="42"/>
      <c r="G101" s="42" t="str">
        <f>' Expense Input'!F24</f>
        <v>Technology Support &amp; Service</v>
      </c>
      <c r="H101" s="93">
        <f>' Expense Input'!M24</f>
        <v>0</v>
      </c>
      <c r="I101" s="2" t="str">
        <f t="shared" si="29"/>
        <v/>
      </c>
      <c r="J101" s="93">
        <f t="shared" si="30"/>
        <v>0</v>
      </c>
      <c r="K101" s="93">
        <f t="shared" si="31"/>
        <v>0</v>
      </c>
      <c r="O101" s="29">
        <f t="shared" ref="O101:O163" si="32">IF(E101&lt;300,H101,0)</f>
        <v>0</v>
      </c>
      <c r="P101" s="29">
        <f t="shared" ref="P101:P164" si="33">IF(E101&gt;299,H101,0)</f>
        <v>0</v>
      </c>
    </row>
    <row r="102" spans="1:16" hidden="1" x14ac:dyDescent="0.25">
      <c r="A102" s="25"/>
      <c r="B102" s="42"/>
      <c r="C102" s="42"/>
      <c r="D102" s="42"/>
      <c r="E102" s="42"/>
      <c r="F102" s="42"/>
      <c r="G102" s="42"/>
      <c r="H102" s="93"/>
      <c r="I102" s="2" t="str">
        <f t="shared" si="29"/>
        <v/>
      </c>
      <c r="J102" s="93">
        <f t="shared" si="30"/>
        <v>0</v>
      </c>
      <c r="K102" s="93">
        <f t="shared" si="31"/>
        <v>0</v>
      </c>
      <c r="O102" s="29">
        <f t="shared" si="32"/>
        <v>0</v>
      </c>
      <c r="P102" s="29">
        <f t="shared" si="33"/>
        <v>0</v>
      </c>
    </row>
    <row r="103" spans="1:16" hidden="1" x14ac:dyDescent="0.25">
      <c r="A103" s="25"/>
      <c r="B103" s="42"/>
      <c r="C103" s="42"/>
      <c r="D103" s="42"/>
      <c r="E103" s="42"/>
      <c r="F103" s="42"/>
      <c r="G103" s="42"/>
      <c r="H103" s="93"/>
      <c r="I103" s="2" t="str">
        <f t="shared" si="29"/>
        <v/>
      </c>
      <c r="J103" s="93">
        <f t="shared" si="30"/>
        <v>0</v>
      </c>
      <c r="K103" s="93">
        <f t="shared" si="31"/>
        <v>0</v>
      </c>
      <c r="O103" s="29">
        <f t="shared" si="32"/>
        <v>0</v>
      </c>
      <c r="P103" s="29">
        <f t="shared" si="33"/>
        <v>0</v>
      </c>
    </row>
    <row r="104" spans="1:16" hidden="1" x14ac:dyDescent="0.25">
      <c r="A104" s="25"/>
      <c r="B104" s="42"/>
      <c r="C104" s="42"/>
      <c r="D104" s="42"/>
      <c r="E104" s="42"/>
      <c r="F104" s="42"/>
      <c r="G104" s="42"/>
      <c r="H104" s="93"/>
      <c r="I104" s="2" t="str">
        <f t="shared" si="29"/>
        <v/>
      </c>
      <c r="J104" s="93">
        <f t="shared" si="30"/>
        <v>0</v>
      </c>
      <c r="K104" s="93">
        <f t="shared" si="31"/>
        <v>0</v>
      </c>
      <c r="O104" s="29">
        <f t="shared" si="32"/>
        <v>0</v>
      </c>
      <c r="P104" s="29">
        <f t="shared" si="33"/>
        <v>0</v>
      </c>
    </row>
    <row r="105" spans="1:16" hidden="1" x14ac:dyDescent="0.25">
      <c r="A105" s="25"/>
      <c r="B105" s="42"/>
      <c r="C105" s="42"/>
      <c r="D105" s="42"/>
      <c r="E105" s="42"/>
      <c r="F105" s="42"/>
      <c r="G105" s="42"/>
      <c r="H105" s="93"/>
      <c r="I105" s="2" t="str">
        <f t="shared" si="29"/>
        <v/>
      </c>
      <c r="J105" s="93">
        <f t="shared" si="30"/>
        <v>0</v>
      </c>
      <c r="K105" s="93">
        <f t="shared" si="31"/>
        <v>0</v>
      </c>
      <c r="O105" s="29">
        <f t="shared" si="32"/>
        <v>0</v>
      </c>
      <c r="P105" s="29">
        <f t="shared" si="33"/>
        <v>0</v>
      </c>
    </row>
    <row r="106" spans="1:16" hidden="1" x14ac:dyDescent="0.25">
      <c r="A106" s="25"/>
      <c r="B106" s="42"/>
      <c r="C106" s="42"/>
      <c r="D106" s="42"/>
      <c r="E106" s="42"/>
      <c r="F106" s="42"/>
      <c r="G106" s="42"/>
      <c r="H106" s="93"/>
      <c r="I106" s="2" t="str">
        <f t="shared" si="29"/>
        <v/>
      </c>
      <c r="J106" s="93">
        <f t="shared" si="30"/>
        <v>0</v>
      </c>
      <c r="K106" s="93">
        <f t="shared" si="31"/>
        <v>0</v>
      </c>
      <c r="O106" s="29">
        <f t="shared" si="32"/>
        <v>0</v>
      </c>
      <c r="P106" s="29">
        <f t="shared" si="33"/>
        <v>0</v>
      </c>
    </row>
    <row r="107" spans="1:16" hidden="1" x14ac:dyDescent="0.25">
      <c r="A107" s="25"/>
      <c r="B107" s="42"/>
      <c r="C107" s="42"/>
      <c r="D107" s="42"/>
      <c r="E107" s="42"/>
      <c r="F107" s="42"/>
      <c r="G107" s="42"/>
      <c r="H107" s="93"/>
      <c r="I107" s="2" t="str">
        <f t="shared" si="29"/>
        <v/>
      </c>
      <c r="J107" s="93">
        <f t="shared" si="30"/>
        <v>0</v>
      </c>
      <c r="K107" s="93">
        <f t="shared" si="31"/>
        <v>0</v>
      </c>
      <c r="O107" s="29">
        <f t="shared" si="32"/>
        <v>0</v>
      </c>
      <c r="P107" s="29">
        <f t="shared" si="33"/>
        <v>0</v>
      </c>
    </row>
    <row r="108" spans="1:16" hidden="1" x14ac:dyDescent="0.25">
      <c r="A108" s="25"/>
      <c r="B108" s="42"/>
      <c r="C108" s="42"/>
      <c r="D108" s="42"/>
      <c r="E108" s="42"/>
      <c r="F108" s="42"/>
      <c r="G108" s="42"/>
      <c r="H108" s="93"/>
      <c r="I108" s="2" t="str">
        <f t="shared" si="29"/>
        <v/>
      </c>
      <c r="J108" s="93">
        <f t="shared" si="30"/>
        <v>0</v>
      </c>
      <c r="K108" s="93">
        <f t="shared" si="31"/>
        <v>0</v>
      </c>
      <c r="O108" s="29">
        <f t="shared" si="32"/>
        <v>0</v>
      </c>
      <c r="P108" s="29">
        <f t="shared" si="33"/>
        <v>0</v>
      </c>
    </row>
    <row r="109" spans="1:16" hidden="1" x14ac:dyDescent="0.25">
      <c r="A109" s="25"/>
      <c r="B109" s="42"/>
      <c r="C109" s="42"/>
      <c r="D109" s="42"/>
      <c r="E109" s="42"/>
      <c r="F109" s="42"/>
      <c r="G109" s="42"/>
      <c r="H109" s="43"/>
      <c r="I109" s="2" t="str">
        <f>IF(I110="*","*","")</f>
        <v/>
      </c>
      <c r="J109" s="43"/>
      <c r="K109" s="43"/>
      <c r="O109" s="29">
        <f t="shared" si="32"/>
        <v>0</v>
      </c>
      <c r="P109" s="29">
        <f t="shared" si="33"/>
        <v>0</v>
      </c>
    </row>
    <row r="110" spans="1:16" hidden="1" x14ac:dyDescent="0.25">
      <c r="A110" s="25"/>
      <c r="G110" s="21" t="s">
        <v>279</v>
      </c>
      <c r="H110" s="39">
        <f>SUM(H99:H109)</f>
        <v>0</v>
      </c>
      <c r="I110" s="2" t="str">
        <f>IF(H110&gt;0.49,"*","")</f>
        <v/>
      </c>
      <c r="J110" s="39">
        <f t="shared" ref="J110:K110" si="34">SUM(J99:J109)</f>
        <v>0</v>
      </c>
      <c r="K110" s="39">
        <f t="shared" si="34"/>
        <v>0</v>
      </c>
      <c r="O110" s="29"/>
      <c r="P110" s="29">
        <f t="shared" si="33"/>
        <v>0</v>
      </c>
    </row>
    <row r="111" spans="1:16" hidden="1" x14ac:dyDescent="0.25">
      <c r="A111" s="25"/>
      <c r="G111" s="5"/>
      <c r="I111" s="2" t="str">
        <f>IF(I110="*","*","")</f>
        <v/>
      </c>
      <c r="J111" s="29"/>
      <c r="K111" s="29"/>
      <c r="O111" s="29">
        <f t="shared" si="32"/>
        <v>0</v>
      </c>
      <c r="P111" s="29">
        <f t="shared" si="33"/>
        <v>0</v>
      </c>
    </row>
    <row r="112" spans="1:16" hidden="1" x14ac:dyDescent="0.25">
      <c r="A112" s="25"/>
      <c r="B112" s="42"/>
      <c r="C112" s="42"/>
      <c r="D112" s="42"/>
      <c r="E112" s="42"/>
      <c r="F112" s="42"/>
      <c r="G112" s="42"/>
      <c r="H112" s="93"/>
      <c r="I112" s="2" t="str">
        <f t="shared" ref="I112:I130" si="35">IF(H112&gt;0.49,"*","")</f>
        <v/>
      </c>
      <c r="J112" s="93">
        <f t="shared" ref="J112:J130" si="36">IF(B112=J$6,H112,0)</f>
        <v>0</v>
      </c>
      <c r="K112" s="93">
        <f t="shared" ref="K112:K130" si="37">IF(B112=K$6,H112,0)</f>
        <v>0</v>
      </c>
      <c r="O112" s="29">
        <f t="shared" si="32"/>
        <v>0</v>
      </c>
      <c r="P112" s="29">
        <f t="shared" si="33"/>
        <v>0</v>
      </c>
    </row>
    <row r="113" spans="1:16" hidden="1" x14ac:dyDescent="0.25">
      <c r="A113" s="25"/>
      <c r="B113" s="42"/>
      <c r="C113" s="42"/>
      <c r="D113" s="42"/>
      <c r="E113" s="42"/>
      <c r="F113" s="42"/>
      <c r="G113" s="42"/>
      <c r="H113" s="93"/>
      <c r="I113" s="2" t="str">
        <f t="shared" si="35"/>
        <v/>
      </c>
      <c r="J113" s="93">
        <f t="shared" si="36"/>
        <v>0</v>
      </c>
      <c r="K113" s="93">
        <f t="shared" si="37"/>
        <v>0</v>
      </c>
      <c r="O113" s="29">
        <f t="shared" si="32"/>
        <v>0</v>
      </c>
      <c r="P113" s="29">
        <f t="shared" si="33"/>
        <v>0</v>
      </c>
    </row>
    <row r="114" spans="1:16" hidden="1" x14ac:dyDescent="0.25">
      <c r="A114" s="25"/>
      <c r="B114" s="42"/>
      <c r="C114" s="42"/>
      <c r="D114" s="42"/>
      <c r="E114" s="42"/>
      <c r="F114" s="42"/>
      <c r="G114" s="42"/>
      <c r="H114" s="93"/>
      <c r="I114" s="2" t="str">
        <f t="shared" si="35"/>
        <v/>
      </c>
      <c r="J114" s="93">
        <f t="shared" si="36"/>
        <v>0</v>
      </c>
      <c r="K114" s="93">
        <f t="shared" si="37"/>
        <v>0</v>
      </c>
      <c r="O114" s="29">
        <f t="shared" si="32"/>
        <v>0</v>
      </c>
      <c r="P114" s="29">
        <f t="shared" si="33"/>
        <v>0</v>
      </c>
    </row>
    <row r="115" spans="1:16" hidden="1" x14ac:dyDescent="0.25">
      <c r="A115" s="25"/>
      <c r="B115" s="42"/>
      <c r="C115" s="42"/>
      <c r="D115" s="42"/>
      <c r="E115" s="42"/>
      <c r="F115" s="42"/>
      <c r="G115" s="42"/>
      <c r="H115" s="93"/>
      <c r="I115" s="2" t="str">
        <f t="shared" si="35"/>
        <v/>
      </c>
      <c r="J115" s="93">
        <f t="shared" si="36"/>
        <v>0</v>
      </c>
      <c r="K115" s="93">
        <f t="shared" si="37"/>
        <v>0</v>
      </c>
      <c r="O115" s="29">
        <f t="shared" si="32"/>
        <v>0</v>
      </c>
      <c r="P115" s="29">
        <f t="shared" si="33"/>
        <v>0</v>
      </c>
    </row>
    <row r="116" spans="1:16" hidden="1" x14ac:dyDescent="0.25">
      <c r="A116" s="25"/>
      <c r="B116" s="42"/>
      <c r="C116" s="42"/>
      <c r="D116" s="42"/>
      <c r="E116" s="42"/>
      <c r="F116" s="42"/>
      <c r="G116" s="42"/>
      <c r="H116" s="93"/>
      <c r="I116" s="2" t="str">
        <f t="shared" si="35"/>
        <v/>
      </c>
      <c r="J116" s="93">
        <f t="shared" si="36"/>
        <v>0</v>
      </c>
      <c r="K116" s="93">
        <f t="shared" si="37"/>
        <v>0</v>
      </c>
      <c r="O116" s="29">
        <f t="shared" si="32"/>
        <v>0</v>
      </c>
      <c r="P116" s="29">
        <f t="shared" si="33"/>
        <v>0</v>
      </c>
    </row>
    <row r="117" spans="1:16" x14ac:dyDescent="0.25">
      <c r="A117" s="25"/>
      <c r="B117" s="42">
        <f>' Expense Input'!B25</f>
        <v>100</v>
      </c>
      <c r="C117" s="42">
        <f>' Expense Input'!C25</f>
        <v>4000</v>
      </c>
      <c r="D117" s="42">
        <f>' Expense Input'!D25</f>
        <v>7100</v>
      </c>
      <c r="E117" s="42">
        <f>' Expense Input'!E25</f>
        <v>310</v>
      </c>
      <c r="F117" s="42"/>
      <c r="G117" s="42" t="str">
        <f>' Expense Input'!F25</f>
        <v>Legal and Audit Expense</v>
      </c>
      <c r="H117" s="93">
        <f>' Expense Input'!M25</f>
        <v>8080</v>
      </c>
      <c r="I117" s="2" t="str">
        <f t="shared" si="35"/>
        <v>*</v>
      </c>
      <c r="J117" s="93">
        <f t="shared" si="36"/>
        <v>8080</v>
      </c>
      <c r="K117" s="93">
        <f t="shared" si="37"/>
        <v>0</v>
      </c>
      <c r="O117" s="29">
        <f t="shared" si="32"/>
        <v>0</v>
      </c>
      <c r="P117" s="29">
        <f t="shared" si="33"/>
        <v>8080</v>
      </c>
    </row>
    <row r="118" spans="1:16" x14ac:dyDescent="0.25">
      <c r="A118" s="25"/>
      <c r="B118" s="42">
        <f>' Expense Input'!B26</f>
        <v>100</v>
      </c>
      <c r="C118" s="42">
        <f>' Expense Input'!C26</f>
        <v>4000</v>
      </c>
      <c r="D118" s="42">
        <f>' Expense Input'!D26</f>
        <v>7100</v>
      </c>
      <c r="E118" s="42">
        <f>' Expense Input'!E26</f>
        <v>320</v>
      </c>
      <c r="F118" s="42"/>
      <c r="G118" s="42" t="str">
        <f>' Expense Input'!F26</f>
        <v>Insurance - General Liability</v>
      </c>
      <c r="H118" s="93">
        <f>' Expense Input'!M26</f>
        <v>8164.8703000000005</v>
      </c>
      <c r="I118" s="2" t="str">
        <f t="shared" ref="I118:I128" si="38">IF(H118&gt;0.49,"*","")</f>
        <v>*</v>
      </c>
      <c r="J118" s="93">
        <f t="shared" si="36"/>
        <v>8164.8703000000005</v>
      </c>
      <c r="K118" s="93">
        <f t="shared" si="37"/>
        <v>0</v>
      </c>
      <c r="O118" s="29">
        <f t="shared" si="32"/>
        <v>0</v>
      </c>
      <c r="P118" s="29">
        <f t="shared" si="33"/>
        <v>8164.8703000000005</v>
      </c>
    </row>
    <row r="119" spans="1:16" x14ac:dyDescent="0.25">
      <c r="A119" s="25"/>
      <c r="B119" s="42">
        <f>' Expense Input'!B27</f>
        <v>100</v>
      </c>
      <c r="C119" s="42">
        <f>' Expense Input'!C27</f>
        <v>4000</v>
      </c>
      <c r="D119" s="42">
        <f>' Expense Input'!D27</f>
        <v>7100</v>
      </c>
      <c r="E119" s="42">
        <f>' Expense Input'!E27</f>
        <v>730</v>
      </c>
      <c r="F119" s="42"/>
      <c r="G119" s="42" t="str">
        <f>' Expense Input'!F27</f>
        <v>Dues and Fees</v>
      </c>
      <c r="H119" s="93">
        <f>' Expense Input'!M27</f>
        <v>22102.819800000005</v>
      </c>
      <c r="I119" s="2" t="str">
        <f t="shared" si="38"/>
        <v>*</v>
      </c>
      <c r="J119" s="93">
        <f t="shared" si="36"/>
        <v>22102.819800000005</v>
      </c>
      <c r="K119" s="93">
        <f t="shared" si="37"/>
        <v>0</v>
      </c>
      <c r="O119" s="29">
        <f t="shared" si="32"/>
        <v>0</v>
      </c>
      <c r="P119" s="29">
        <f t="shared" si="33"/>
        <v>22102.819800000005</v>
      </c>
    </row>
    <row r="120" spans="1:16" x14ac:dyDescent="0.25">
      <c r="A120" s="25"/>
      <c r="B120" s="42">
        <f>' Expense Input'!B28</f>
        <v>100</v>
      </c>
      <c r="C120" s="42">
        <f>' Expense Input'!C28</f>
        <v>4000</v>
      </c>
      <c r="D120" s="42">
        <f>' Expense Input'!D28</f>
        <v>7100</v>
      </c>
      <c r="E120" s="42">
        <f>' Expense Input'!E28</f>
        <v>790</v>
      </c>
      <c r="F120" s="42"/>
      <c r="G120" s="42" t="str">
        <f>' Expense Input'!F28</f>
        <v>District Admin Fees</v>
      </c>
      <c r="H120" s="93">
        <f>' Expense Input'!M28</f>
        <v>18470</v>
      </c>
      <c r="I120" s="2" t="str">
        <f t="shared" si="38"/>
        <v>*</v>
      </c>
      <c r="J120" s="93">
        <f t="shared" si="36"/>
        <v>18470</v>
      </c>
      <c r="K120" s="93">
        <f t="shared" si="37"/>
        <v>0</v>
      </c>
      <c r="O120" s="29">
        <f t="shared" si="32"/>
        <v>0</v>
      </c>
      <c r="P120" s="29">
        <f t="shared" si="33"/>
        <v>18470</v>
      </c>
    </row>
    <row r="121" spans="1:16" x14ac:dyDescent="0.25">
      <c r="A121" s="25"/>
      <c r="B121" s="42">
        <f>' Expense Input'!B29</f>
        <v>100</v>
      </c>
      <c r="C121" s="42">
        <f>' Expense Input'!C29</f>
        <v>4000</v>
      </c>
      <c r="D121" s="42">
        <f>' Expense Input'!D29</f>
        <v>7100</v>
      </c>
      <c r="E121" s="42">
        <f>' Expense Input'!E29</f>
        <v>795</v>
      </c>
      <c r="F121" s="42"/>
      <c r="G121" s="42" t="str">
        <f>' Expense Input'!F29</f>
        <v>Bank Charges</v>
      </c>
      <c r="H121" s="93">
        <f>' Expense Input'!M29</f>
        <v>269.16500000000002</v>
      </c>
      <c r="I121" s="2" t="str">
        <f t="shared" si="38"/>
        <v>*</v>
      </c>
      <c r="J121" s="93">
        <f t="shared" si="36"/>
        <v>269.16500000000002</v>
      </c>
      <c r="K121" s="93">
        <f t="shared" si="37"/>
        <v>0</v>
      </c>
      <c r="O121" s="29">
        <f t="shared" si="32"/>
        <v>0</v>
      </c>
      <c r="P121" s="29">
        <f t="shared" si="33"/>
        <v>269.16500000000002</v>
      </c>
    </row>
    <row r="122" spans="1:16" hidden="1" x14ac:dyDescent="0.25">
      <c r="A122" s="25"/>
      <c r="B122" s="42"/>
      <c r="C122" s="42"/>
      <c r="D122" s="42"/>
      <c r="E122" s="42"/>
      <c r="F122" s="42"/>
      <c r="G122" s="42"/>
      <c r="H122" s="93"/>
      <c r="I122" s="2" t="str">
        <f t="shared" si="38"/>
        <v/>
      </c>
      <c r="J122" s="93">
        <f t="shared" si="36"/>
        <v>0</v>
      </c>
      <c r="K122" s="93">
        <f t="shared" si="37"/>
        <v>0</v>
      </c>
      <c r="O122" s="29">
        <f t="shared" si="32"/>
        <v>0</v>
      </c>
      <c r="P122" s="29">
        <f t="shared" si="33"/>
        <v>0</v>
      </c>
    </row>
    <row r="123" spans="1:16" hidden="1" x14ac:dyDescent="0.25">
      <c r="A123" s="25"/>
      <c r="B123" s="42"/>
      <c r="C123" s="42"/>
      <c r="D123" s="42"/>
      <c r="E123" s="42"/>
      <c r="F123" s="42"/>
      <c r="G123" s="42"/>
      <c r="H123" s="93"/>
      <c r="I123" s="2" t="str">
        <f t="shared" si="38"/>
        <v/>
      </c>
      <c r="J123" s="93">
        <f t="shared" si="36"/>
        <v>0</v>
      </c>
      <c r="K123" s="93">
        <f t="shared" si="37"/>
        <v>0</v>
      </c>
      <c r="O123" s="29">
        <f t="shared" si="32"/>
        <v>0</v>
      </c>
      <c r="P123" s="29">
        <f t="shared" si="33"/>
        <v>0</v>
      </c>
    </row>
    <row r="124" spans="1:16" hidden="1" x14ac:dyDescent="0.25">
      <c r="A124" s="25"/>
      <c r="B124" s="42"/>
      <c r="C124" s="42"/>
      <c r="D124" s="42"/>
      <c r="E124" s="42"/>
      <c r="F124" s="42"/>
      <c r="G124" s="42"/>
      <c r="H124" s="93"/>
      <c r="I124" s="2" t="str">
        <f t="shared" si="38"/>
        <v/>
      </c>
      <c r="J124" s="93">
        <f t="shared" si="36"/>
        <v>0</v>
      </c>
      <c r="K124" s="93">
        <f t="shared" si="37"/>
        <v>0</v>
      </c>
      <c r="O124" s="29">
        <f t="shared" si="32"/>
        <v>0</v>
      </c>
      <c r="P124" s="29">
        <f t="shared" si="33"/>
        <v>0</v>
      </c>
    </row>
    <row r="125" spans="1:16" hidden="1" x14ac:dyDescent="0.25">
      <c r="A125" s="25"/>
      <c r="B125" s="42"/>
      <c r="C125" s="42"/>
      <c r="D125" s="42"/>
      <c r="E125" s="42"/>
      <c r="F125" s="42"/>
      <c r="G125" s="42"/>
      <c r="H125" s="93"/>
      <c r="I125" s="2" t="str">
        <f t="shared" si="38"/>
        <v/>
      </c>
      <c r="J125" s="93">
        <f t="shared" si="36"/>
        <v>0</v>
      </c>
      <c r="K125" s="93">
        <f t="shared" si="37"/>
        <v>0</v>
      </c>
      <c r="O125" s="29">
        <f t="shared" si="32"/>
        <v>0</v>
      </c>
      <c r="P125" s="29">
        <f t="shared" si="33"/>
        <v>0</v>
      </c>
    </row>
    <row r="126" spans="1:16" hidden="1" x14ac:dyDescent="0.25">
      <c r="A126" s="25"/>
      <c r="B126" s="42"/>
      <c r="C126" s="42"/>
      <c r="D126" s="42"/>
      <c r="E126" s="42"/>
      <c r="F126" s="42"/>
      <c r="G126" s="42"/>
      <c r="H126" s="93"/>
      <c r="I126" s="2" t="str">
        <f t="shared" si="38"/>
        <v/>
      </c>
      <c r="J126" s="93">
        <f t="shared" si="36"/>
        <v>0</v>
      </c>
      <c r="K126" s="93">
        <f t="shared" si="37"/>
        <v>0</v>
      </c>
      <c r="O126" s="29">
        <f t="shared" si="32"/>
        <v>0</v>
      </c>
      <c r="P126" s="29">
        <f t="shared" si="33"/>
        <v>0</v>
      </c>
    </row>
    <row r="127" spans="1:16" hidden="1" x14ac:dyDescent="0.25">
      <c r="A127" s="25"/>
      <c r="B127" s="42"/>
      <c r="C127" s="42"/>
      <c r="D127" s="42"/>
      <c r="E127" s="42"/>
      <c r="F127" s="42"/>
      <c r="G127" s="42"/>
      <c r="H127" s="93"/>
      <c r="I127" s="2" t="str">
        <f t="shared" si="38"/>
        <v/>
      </c>
      <c r="J127" s="93">
        <f t="shared" si="36"/>
        <v>0</v>
      </c>
      <c r="K127" s="93">
        <f t="shared" si="37"/>
        <v>0</v>
      </c>
      <c r="O127" s="29">
        <f t="shared" si="32"/>
        <v>0</v>
      </c>
      <c r="P127" s="29">
        <f t="shared" si="33"/>
        <v>0</v>
      </c>
    </row>
    <row r="128" spans="1:16" hidden="1" x14ac:dyDescent="0.25">
      <c r="A128" s="25"/>
      <c r="B128" s="42"/>
      <c r="C128" s="42"/>
      <c r="D128" s="42"/>
      <c r="E128" s="42"/>
      <c r="F128" s="42"/>
      <c r="G128" s="42"/>
      <c r="H128" s="93"/>
      <c r="I128" s="2" t="str">
        <f t="shared" si="38"/>
        <v/>
      </c>
      <c r="J128" s="93">
        <f t="shared" si="36"/>
        <v>0</v>
      </c>
      <c r="K128" s="93">
        <f t="shared" si="37"/>
        <v>0</v>
      </c>
      <c r="O128" s="29">
        <f t="shared" si="32"/>
        <v>0</v>
      </c>
      <c r="P128" s="29">
        <f t="shared" si="33"/>
        <v>0</v>
      </c>
    </row>
    <row r="129" spans="1:16" hidden="1" x14ac:dyDescent="0.25">
      <c r="A129" s="25"/>
      <c r="B129" s="42"/>
      <c r="C129" s="42"/>
      <c r="D129" s="42"/>
      <c r="E129" s="42"/>
      <c r="F129" s="42"/>
      <c r="G129" s="42"/>
      <c r="H129" s="93"/>
      <c r="I129" s="2" t="str">
        <f t="shared" si="35"/>
        <v/>
      </c>
      <c r="J129" s="93">
        <f t="shared" si="36"/>
        <v>0</v>
      </c>
      <c r="K129" s="93">
        <f t="shared" si="37"/>
        <v>0</v>
      </c>
      <c r="O129" s="29">
        <f t="shared" si="32"/>
        <v>0</v>
      </c>
      <c r="P129" s="29">
        <f t="shared" si="33"/>
        <v>0</v>
      </c>
    </row>
    <row r="130" spans="1:16" hidden="1" x14ac:dyDescent="0.25">
      <c r="A130" s="25"/>
      <c r="B130" s="42"/>
      <c r="C130" s="42"/>
      <c r="D130" s="42"/>
      <c r="E130" s="42"/>
      <c r="F130" s="42"/>
      <c r="G130" s="42"/>
      <c r="H130" s="93"/>
      <c r="I130" s="2" t="str">
        <f t="shared" si="35"/>
        <v/>
      </c>
      <c r="J130" s="93">
        <f t="shared" si="36"/>
        <v>0</v>
      </c>
      <c r="K130" s="93">
        <f t="shared" si="37"/>
        <v>0</v>
      </c>
      <c r="O130" s="29">
        <f t="shared" si="32"/>
        <v>0</v>
      </c>
      <c r="P130" s="29">
        <f t="shared" si="33"/>
        <v>0</v>
      </c>
    </row>
    <row r="131" spans="1:16" x14ac:dyDescent="0.25">
      <c r="A131" s="25"/>
      <c r="B131" s="42"/>
      <c r="C131" s="42"/>
      <c r="D131" s="42"/>
      <c r="E131" s="42"/>
      <c r="F131" s="42"/>
      <c r="G131" s="42"/>
      <c r="H131" s="43"/>
      <c r="I131" s="2" t="str">
        <f>IF(I132="*","*","")</f>
        <v>*</v>
      </c>
      <c r="J131" s="43"/>
      <c r="K131" s="43"/>
      <c r="O131" s="29">
        <f t="shared" si="32"/>
        <v>0</v>
      </c>
      <c r="P131" s="29">
        <f t="shared" si="33"/>
        <v>0</v>
      </c>
    </row>
    <row r="132" spans="1:16" x14ac:dyDescent="0.25">
      <c r="A132" s="25"/>
      <c r="G132" s="21" t="s">
        <v>280</v>
      </c>
      <c r="H132" s="39">
        <f>SUM(H113:H131)</f>
        <v>57086.855100000008</v>
      </c>
      <c r="I132" s="2" t="str">
        <f>IF(H132&gt;0.49,"*","")</f>
        <v>*</v>
      </c>
      <c r="J132" s="39">
        <f t="shared" ref="J132:K132" si="39">SUM(J113:J131)</f>
        <v>57086.855100000008</v>
      </c>
      <c r="K132" s="39">
        <f t="shared" si="39"/>
        <v>0</v>
      </c>
      <c r="O132" s="29"/>
      <c r="P132" s="29">
        <f t="shared" si="33"/>
        <v>0</v>
      </c>
    </row>
    <row r="133" spans="1:16" x14ac:dyDescent="0.25">
      <c r="A133" s="25"/>
      <c r="B133" s="17"/>
      <c r="C133" s="17"/>
      <c r="D133" s="17"/>
      <c r="E133" s="17"/>
      <c r="F133" s="17"/>
      <c r="G133" s="16"/>
      <c r="I133" s="2" t="str">
        <f>IF(I132="*","*","")</f>
        <v>*</v>
      </c>
      <c r="J133" s="29"/>
      <c r="K133" s="29"/>
      <c r="O133" s="29">
        <f t="shared" si="32"/>
        <v>0</v>
      </c>
      <c r="P133" s="29">
        <f t="shared" si="33"/>
        <v>0</v>
      </c>
    </row>
    <row r="134" spans="1:16" hidden="1" x14ac:dyDescent="0.25">
      <c r="A134" s="25">
        <v>1</v>
      </c>
      <c r="B134" s="42">
        <v>100</v>
      </c>
      <c r="C134" s="42">
        <v>4000</v>
      </c>
      <c r="D134" s="42">
        <v>7300</v>
      </c>
      <c r="E134" s="42">
        <v>110</v>
      </c>
      <c r="F134" s="42"/>
      <c r="G134" s="42" t="s">
        <v>194</v>
      </c>
      <c r="H134" s="29">
        <f>+Payroll!E109</f>
        <v>0</v>
      </c>
      <c r="I134" s="2" t="str">
        <f t="shared" ref="I134:I155" si="40">IF(H134&gt;0.49,"*","")</f>
        <v/>
      </c>
      <c r="J134" s="93">
        <f t="shared" ref="J134:J155" si="41">IF(B134=J$6,H134,0)</f>
        <v>0</v>
      </c>
      <c r="K134" s="93">
        <f t="shared" ref="K134:K155" si="42">IF(B134=K$6,H134,0)</f>
        <v>0</v>
      </c>
      <c r="O134" s="29">
        <f t="shared" si="32"/>
        <v>0</v>
      </c>
      <c r="P134" s="29">
        <f t="shared" si="33"/>
        <v>0</v>
      </c>
    </row>
    <row r="135" spans="1:16" x14ac:dyDescent="0.25">
      <c r="A135" s="25">
        <v>1</v>
      </c>
      <c r="B135" s="42">
        <v>100</v>
      </c>
      <c r="C135" s="42">
        <v>4000</v>
      </c>
      <c r="D135" s="42">
        <v>7300</v>
      </c>
      <c r="E135" s="42">
        <v>160</v>
      </c>
      <c r="F135" s="42"/>
      <c r="G135" s="42" t="s">
        <v>11</v>
      </c>
      <c r="H135" s="29">
        <f>+Payroll!E114</f>
        <v>23255.999999999996</v>
      </c>
      <c r="I135" s="2" t="str">
        <f t="shared" si="40"/>
        <v>*</v>
      </c>
      <c r="J135" s="93">
        <f t="shared" si="41"/>
        <v>23255.999999999996</v>
      </c>
      <c r="K135" s="93">
        <f t="shared" si="42"/>
        <v>0</v>
      </c>
      <c r="O135" s="29">
        <f t="shared" si="32"/>
        <v>23255.999999999996</v>
      </c>
      <c r="P135" s="29">
        <f t="shared" si="33"/>
        <v>0</v>
      </c>
    </row>
    <row r="136" spans="1:16" x14ac:dyDescent="0.25">
      <c r="A136" s="25">
        <v>1</v>
      </c>
      <c r="B136" s="42">
        <v>100</v>
      </c>
      <c r="C136" s="42">
        <v>4000</v>
      </c>
      <c r="D136" s="42">
        <v>7300</v>
      </c>
      <c r="E136" s="42">
        <v>210</v>
      </c>
      <c r="F136" s="42"/>
      <c r="G136" s="42" t="s">
        <v>73</v>
      </c>
      <c r="H136" s="29">
        <f>+Payroll!F109+Payroll!F114</f>
        <v>1676.7575999999997</v>
      </c>
      <c r="I136" s="2" t="str">
        <f t="shared" si="40"/>
        <v>*</v>
      </c>
      <c r="J136" s="93">
        <f t="shared" si="41"/>
        <v>1676.7575999999997</v>
      </c>
      <c r="K136" s="93">
        <f t="shared" si="42"/>
        <v>0</v>
      </c>
      <c r="O136" s="29">
        <f t="shared" si="32"/>
        <v>1676.7575999999997</v>
      </c>
      <c r="P136" s="29">
        <f t="shared" si="33"/>
        <v>0</v>
      </c>
    </row>
    <row r="137" spans="1:16" x14ac:dyDescent="0.25">
      <c r="A137" s="25">
        <v>1</v>
      </c>
      <c r="B137" s="42">
        <v>100</v>
      </c>
      <c r="C137" s="42">
        <v>4000</v>
      </c>
      <c r="D137" s="42">
        <v>7300</v>
      </c>
      <c r="E137" s="42">
        <v>220</v>
      </c>
      <c r="F137" s="42"/>
      <c r="G137" s="42" t="s">
        <v>74</v>
      </c>
      <c r="H137" s="29">
        <f>+Payroll!H109+Payroll!H114</f>
        <v>1779.0839999999996</v>
      </c>
      <c r="I137" s="2" t="str">
        <f t="shared" si="40"/>
        <v>*</v>
      </c>
      <c r="J137" s="93">
        <f t="shared" si="41"/>
        <v>1779.0839999999996</v>
      </c>
      <c r="K137" s="93">
        <f t="shared" si="42"/>
        <v>0</v>
      </c>
      <c r="O137" s="29">
        <f t="shared" si="32"/>
        <v>1779.0839999999996</v>
      </c>
      <c r="P137" s="29">
        <f t="shared" si="33"/>
        <v>0</v>
      </c>
    </row>
    <row r="138" spans="1:16" hidden="1" x14ac:dyDescent="0.25">
      <c r="A138" s="25">
        <v>1</v>
      </c>
      <c r="B138" s="42">
        <v>100</v>
      </c>
      <c r="C138" s="42">
        <v>4000</v>
      </c>
      <c r="D138" s="42">
        <v>7300</v>
      </c>
      <c r="E138" s="42">
        <v>230</v>
      </c>
      <c r="F138" s="42"/>
      <c r="G138" s="42" t="s">
        <v>75</v>
      </c>
      <c r="H138" s="29">
        <f>+Payroll!I109+Payroll!I114</f>
        <v>0</v>
      </c>
      <c r="I138" s="2" t="str">
        <f t="shared" si="40"/>
        <v/>
      </c>
      <c r="J138" s="93">
        <f t="shared" si="41"/>
        <v>0</v>
      </c>
      <c r="K138" s="93">
        <f t="shared" si="42"/>
        <v>0</v>
      </c>
      <c r="O138" s="29">
        <f t="shared" si="32"/>
        <v>0</v>
      </c>
      <c r="P138" s="29">
        <f t="shared" si="33"/>
        <v>0</v>
      </c>
    </row>
    <row r="139" spans="1:16" x14ac:dyDescent="0.25">
      <c r="A139" s="25">
        <v>1</v>
      </c>
      <c r="B139" s="42">
        <v>100</v>
      </c>
      <c r="C139" s="42">
        <v>4000</v>
      </c>
      <c r="D139" s="42">
        <v>7300</v>
      </c>
      <c r="E139" s="42">
        <v>240</v>
      </c>
      <c r="F139" s="42"/>
      <c r="G139" s="42" t="s">
        <v>76</v>
      </c>
      <c r="H139" s="29">
        <f>+Payroll!K109+Payroll!K114</f>
        <v>116.27999999999999</v>
      </c>
      <c r="I139" s="2" t="str">
        <f t="shared" si="40"/>
        <v>*</v>
      </c>
      <c r="J139" s="93">
        <f t="shared" si="41"/>
        <v>116.27999999999999</v>
      </c>
      <c r="K139" s="93">
        <f t="shared" si="42"/>
        <v>0</v>
      </c>
      <c r="O139" s="29">
        <f t="shared" si="32"/>
        <v>116.27999999999999</v>
      </c>
      <c r="P139" s="29">
        <f t="shared" si="33"/>
        <v>0</v>
      </c>
    </row>
    <row r="140" spans="1:16" x14ac:dyDescent="0.25">
      <c r="A140" s="25">
        <v>1</v>
      </c>
      <c r="B140" s="42">
        <v>100</v>
      </c>
      <c r="C140" s="42">
        <v>4000</v>
      </c>
      <c r="D140" s="42">
        <v>7300</v>
      </c>
      <c r="E140" s="42">
        <v>250</v>
      </c>
      <c r="F140" s="42"/>
      <c r="G140" s="42" t="s">
        <v>77</v>
      </c>
      <c r="H140" s="29">
        <f>+Payroll!L109+Payroll!L114</f>
        <v>280</v>
      </c>
      <c r="I140" s="2" t="str">
        <f t="shared" si="40"/>
        <v>*</v>
      </c>
      <c r="J140" s="93">
        <f t="shared" si="41"/>
        <v>280</v>
      </c>
      <c r="K140" s="93">
        <f t="shared" si="42"/>
        <v>0</v>
      </c>
      <c r="O140" s="29">
        <f t="shared" si="32"/>
        <v>280</v>
      </c>
      <c r="P140" s="29">
        <f t="shared" si="33"/>
        <v>0</v>
      </c>
    </row>
    <row r="141" spans="1:16" hidden="1" x14ac:dyDescent="0.25">
      <c r="A141" s="25"/>
      <c r="B141" s="42"/>
      <c r="C141" s="42"/>
      <c r="D141" s="42"/>
      <c r="E141" s="42"/>
      <c r="F141" s="42"/>
      <c r="G141" s="42"/>
      <c r="H141" s="93"/>
      <c r="I141" s="2" t="str">
        <f t="shared" si="40"/>
        <v/>
      </c>
      <c r="J141" s="93">
        <f t="shared" si="41"/>
        <v>0</v>
      </c>
      <c r="K141" s="93">
        <f t="shared" si="42"/>
        <v>0</v>
      </c>
      <c r="O141" s="29">
        <f t="shared" si="32"/>
        <v>0</v>
      </c>
      <c r="P141" s="29">
        <f t="shared" si="33"/>
        <v>0</v>
      </c>
    </row>
    <row r="142" spans="1:16" hidden="1" x14ac:dyDescent="0.25">
      <c r="A142" s="25"/>
      <c r="B142" s="42"/>
      <c r="C142" s="42"/>
      <c r="D142" s="42"/>
      <c r="E142" s="42"/>
      <c r="F142" s="42"/>
      <c r="G142" s="42"/>
      <c r="H142" s="93"/>
      <c r="I142" s="2" t="str">
        <f t="shared" ref="I142" si="43">IF(H142&gt;0.49,"*","")</f>
        <v/>
      </c>
      <c r="J142" s="93">
        <f t="shared" si="41"/>
        <v>0</v>
      </c>
      <c r="K142" s="93">
        <f t="shared" si="42"/>
        <v>0</v>
      </c>
      <c r="O142" s="29">
        <f t="shared" si="32"/>
        <v>0</v>
      </c>
      <c r="P142" s="29">
        <f t="shared" si="33"/>
        <v>0</v>
      </c>
    </row>
    <row r="143" spans="1:16" hidden="1" x14ac:dyDescent="0.25">
      <c r="A143" s="25"/>
      <c r="B143" s="42"/>
      <c r="C143" s="42"/>
      <c r="D143" s="42"/>
      <c r="E143" s="42"/>
      <c r="F143" s="42"/>
      <c r="G143" s="42"/>
      <c r="H143" s="93"/>
      <c r="I143" s="2" t="str">
        <f t="shared" si="40"/>
        <v/>
      </c>
      <c r="J143" s="93">
        <f t="shared" si="41"/>
        <v>0</v>
      </c>
      <c r="K143" s="93">
        <f t="shared" si="42"/>
        <v>0</v>
      </c>
      <c r="O143" s="29">
        <f t="shared" si="32"/>
        <v>0</v>
      </c>
      <c r="P143" s="29">
        <f t="shared" si="33"/>
        <v>0</v>
      </c>
    </row>
    <row r="144" spans="1:16" hidden="1" x14ac:dyDescent="0.25">
      <c r="A144" s="25"/>
      <c r="B144" s="42">
        <f>' Expense Input'!B30</f>
        <v>100</v>
      </c>
      <c r="C144" s="42">
        <f>' Expense Input'!C30</f>
        <v>4000</v>
      </c>
      <c r="D144" s="42">
        <f>' Expense Input'!D30</f>
        <v>7300</v>
      </c>
      <c r="E144" s="42">
        <f>' Expense Input'!E30</f>
        <v>310</v>
      </c>
      <c r="F144" s="42"/>
      <c r="G144" s="42" t="str">
        <f>' Expense Input'!F30</f>
        <v>Contracted Services</v>
      </c>
      <c r="H144" s="93">
        <f>' Expense Input'!M30</f>
        <v>0</v>
      </c>
      <c r="I144" s="2" t="str">
        <f t="shared" si="40"/>
        <v/>
      </c>
      <c r="J144" s="93">
        <f t="shared" si="41"/>
        <v>0</v>
      </c>
      <c r="K144" s="93">
        <f t="shared" si="42"/>
        <v>0</v>
      </c>
      <c r="O144" s="29">
        <f t="shared" si="32"/>
        <v>0</v>
      </c>
      <c r="P144" s="29">
        <f t="shared" si="33"/>
        <v>0</v>
      </c>
    </row>
    <row r="145" spans="1:16" x14ac:dyDescent="0.25">
      <c r="A145" s="25"/>
      <c r="B145" s="42">
        <f>' Expense Input'!B31</f>
        <v>100</v>
      </c>
      <c r="C145" s="42">
        <f>' Expense Input'!C31</f>
        <v>4000</v>
      </c>
      <c r="D145" s="42">
        <f>' Expense Input'!D31</f>
        <v>7300</v>
      </c>
      <c r="E145" s="42">
        <f>' Expense Input'!E31</f>
        <v>320</v>
      </c>
      <c r="F145" s="42"/>
      <c r="G145" s="42" t="str">
        <f>' Expense Input'!F31</f>
        <v>Insurance</v>
      </c>
      <c r="H145" s="93">
        <f>' Expense Input'!M31</f>
        <v>3171.4101000000001</v>
      </c>
      <c r="I145" s="2" t="str">
        <f t="shared" si="40"/>
        <v>*</v>
      </c>
      <c r="J145" s="93">
        <f t="shared" si="41"/>
        <v>3171.4101000000001</v>
      </c>
      <c r="K145" s="93">
        <f t="shared" si="42"/>
        <v>0</v>
      </c>
      <c r="O145" s="29">
        <f t="shared" si="32"/>
        <v>0</v>
      </c>
      <c r="P145" s="29">
        <f t="shared" si="33"/>
        <v>3171.4101000000001</v>
      </c>
    </row>
    <row r="146" spans="1:16" x14ac:dyDescent="0.25">
      <c r="A146" s="25"/>
      <c r="B146" s="42">
        <f>' Expense Input'!B32</f>
        <v>100</v>
      </c>
      <c r="C146" s="42">
        <f>' Expense Input'!C32</f>
        <v>4000</v>
      </c>
      <c r="D146" s="42">
        <f>' Expense Input'!D32</f>
        <v>7300</v>
      </c>
      <c r="E146" s="42">
        <f>' Expense Input'!E32</f>
        <v>330</v>
      </c>
      <c r="F146" s="42"/>
      <c r="G146" s="42" t="str">
        <f>' Expense Input'!F32</f>
        <v>Travel / Conferences / Workshops</v>
      </c>
      <c r="H146" s="93">
        <f>' Expense Input'!M32</f>
        <v>7181.1</v>
      </c>
      <c r="I146" s="2" t="str">
        <f t="shared" si="40"/>
        <v>*</v>
      </c>
      <c r="J146" s="93">
        <f t="shared" si="41"/>
        <v>7181.1</v>
      </c>
      <c r="K146" s="93">
        <f t="shared" si="42"/>
        <v>0</v>
      </c>
      <c r="O146" s="29">
        <f t="shared" si="32"/>
        <v>0</v>
      </c>
      <c r="P146" s="29">
        <f t="shared" si="33"/>
        <v>7181.1</v>
      </c>
    </row>
    <row r="147" spans="1:16" x14ac:dyDescent="0.25">
      <c r="A147" s="25"/>
      <c r="B147" s="42">
        <f>' Expense Input'!B33</f>
        <v>100</v>
      </c>
      <c r="C147" s="42">
        <f>' Expense Input'!C33</f>
        <v>4000</v>
      </c>
      <c r="D147" s="42">
        <f>' Expense Input'!D33</f>
        <v>7300</v>
      </c>
      <c r="E147" s="42">
        <f>' Expense Input'!E33</f>
        <v>370</v>
      </c>
      <c r="F147" s="42"/>
      <c r="G147" s="42" t="str">
        <f>' Expense Input'!F33</f>
        <v>Postage</v>
      </c>
      <c r="H147" s="93">
        <f>' Expense Input'!M33</f>
        <v>1774.6810999999998</v>
      </c>
      <c r="I147" s="2" t="str">
        <f t="shared" si="40"/>
        <v>*</v>
      </c>
      <c r="J147" s="93">
        <f t="shared" si="41"/>
        <v>1774.6810999999998</v>
      </c>
      <c r="K147" s="93">
        <f t="shared" si="42"/>
        <v>0</v>
      </c>
      <c r="O147" s="29">
        <f t="shared" si="32"/>
        <v>0</v>
      </c>
      <c r="P147" s="29">
        <f t="shared" si="33"/>
        <v>1774.6810999999998</v>
      </c>
    </row>
    <row r="148" spans="1:16" x14ac:dyDescent="0.25">
      <c r="A148" s="25"/>
      <c r="B148" s="42">
        <f>' Expense Input'!B34</f>
        <v>100</v>
      </c>
      <c r="C148" s="42">
        <f>' Expense Input'!C34</f>
        <v>4000</v>
      </c>
      <c r="D148" s="42">
        <f>' Expense Input'!D34</f>
        <v>7300</v>
      </c>
      <c r="E148" s="42">
        <f>' Expense Input'!E34</f>
        <v>390</v>
      </c>
      <c r="F148" s="42"/>
      <c r="G148" s="42" t="str">
        <f>' Expense Input'!F34</f>
        <v>Advertising</v>
      </c>
      <c r="H148" s="93">
        <f>' Expense Input'!M34</f>
        <v>5782.1489999999994</v>
      </c>
      <c r="I148" s="2" t="str">
        <f t="shared" si="40"/>
        <v>*</v>
      </c>
      <c r="J148" s="93">
        <f t="shared" si="41"/>
        <v>5782.1489999999994</v>
      </c>
      <c r="K148" s="93">
        <f t="shared" si="42"/>
        <v>0</v>
      </c>
      <c r="O148" s="29">
        <f t="shared" si="32"/>
        <v>0</v>
      </c>
      <c r="P148" s="29">
        <f t="shared" si="33"/>
        <v>5782.1489999999994</v>
      </c>
    </row>
    <row r="149" spans="1:16" x14ac:dyDescent="0.25">
      <c r="A149" s="25"/>
      <c r="B149" s="42">
        <f>' Expense Input'!B35</f>
        <v>100</v>
      </c>
      <c r="C149" s="42">
        <f>' Expense Input'!C35</f>
        <v>4000</v>
      </c>
      <c r="D149" s="42">
        <f>' Expense Input'!D35</f>
        <v>7300</v>
      </c>
      <c r="E149" s="42">
        <f>' Expense Input'!E35</f>
        <v>510</v>
      </c>
      <c r="F149" s="42"/>
      <c r="G149" s="42" t="str">
        <f>' Expense Input'!F35</f>
        <v>Office Expense</v>
      </c>
      <c r="H149" s="93">
        <f>' Expense Input'!M35</f>
        <v>4777.0778000000009</v>
      </c>
      <c r="I149" s="2" t="str">
        <f t="shared" ref="I149:I150" si="44">IF(H149&gt;0.49,"*","")</f>
        <v>*</v>
      </c>
      <c r="J149" s="93">
        <f t="shared" si="41"/>
        <v>4777.0778000000009</v>
      </c>
      <c r="K149" s="93">
        <f t="shared" si="42"/>
        <v>0</v>
      </c>
      <c r="O149" s="29">
        <f t="shared" si="32"/>
        <v>0</v>
      </c>
      <c r="P149" s="29">
        <f t="shared" si="33"/>
        <v>4777.0778000000009</v>
      </c>
    </row>
    <row r="150" spans="1:16" hidden="1" x14ac:dyDescent="0.25">
      <c r="A150" s="25"/>
      <c r="B150" s="42"/>
      <c r="C150" s="42"/>
      <c r="D150" s="42"/>
      <c r="E150" s="42"/>
      <c r="F150" s="42"/>
      <c r="G150" s="42"/>
      <c r="H150" s="93"/>
      <c r="I150" s="2" t="str">
        <f t="shared" si="44"/>
        <v/>
      </c>
      <c r="J150" s="93">
        <f t="shared" si="41"/>
        <v>0</v>
      </c>
      <c r="K150" s="93">
        <f t="shared" si="42"/>
        <v>0</v>
      </c>
      <c r="O150" s="29">
        <f t="shared" si="32"/>
        <v>0</v>
      </c>
      <c r="P150" s="29">
        <f t="shared" si="33"/>
        <v>0</v>
      </c>
    </row>
    <row r="151" spans="1:16" hidden="1" x14ac:dyDescent="0.25">
      <c r="A151" s="25"/>
      <c r="B151" s="42"/>
      <c r="C151" s="42"/>
      <c r="D151" s="42"/>
      <c r="E151" s="42"/>
      <c r="F151" s="42"/>
      <c r="G151" s="42"/>
      <c r="H151" s="93"/>
      <c r="I151" s="2" t="str">
        <f t="shared" ref="I151:I152" si="45">IF(H151&gt;0.49,"*","")</f>
        <v/>
      </c>
      <c r="J151" s="93">
        <f t="shared" si="41"/>
        <v>0</v>
      </c>
      <c r="K151" s="93">
        <f t="shared" si="42"/>
        <v>0</v>
      </c>
      <c r="O151" s="29">
        <f t="shared" si="32"/>
        <v>0</v>
      </c>
      <c r="P151" s="29">
        <f t="shared" si="33"/>
        <v>0</v>
      </c>
    </row>
    <row r="152" spans="1:16" hidden="1" x14ac:dyDescent="0.25">
      <c r="A152" s="25"/>
      <c r="B152" s="42"/>
      <c r="C152" s="42"/>
      <c r="D152" s="42"/>
      <c r="E152" s="42"/>
      <c r="F152" s="42"/>
      <c r="G152" s="42"/>
      <c r="H152" s="93"/>
      <c r="I152" s="2" t="str">
        <f t="shared" si="45"/>
        <v/>
      </c>
      <c r="J152" s="93">
        <f t="shared" si="41"/>
        <v>0</v>
      </c>
      <c r="K152" s="93">
        <f t="shared" si="42"/>
        <v>0</v>
      </c>
      <c r="O152" s="29">
        <f t="shared" si="32"/>
        <v>0</v>
      </c>
      <c r="P152" s="29">
        <f t="shared" si="33"/>
        <v>0</v>
      </c>
    </row>
    <row r="153" spans="1:16" hidden="1" x14ac:dyDescent="0.25">
      <c r="A153" s="25"/>
      <c r="B153" s="42"/>
      <c r="C153" s="42"/>
      <c r="D153" s="42"/>
      <c r="E153" s="42"/>
      <c r="F153" s="42"/>
      <c r="G153" s="42"/>
      <c r="H153" s="93"/>
      <c r="I153" s="2" t="str">
        <f t="shared" si="40"/>
        <v/>
      </c>
      <c r="J153" s="93">
        <f t="shared" si="41"/>
        <v>0</v>
      </c>
      <c r="K153" s="93">
        <f t="shared" si="42"/>
        <v>0</v>
      </c>
      <c r="O153" s="29">
        <f t="shared" si="32"/>
        <v>0</v>
      </c>
      <c r="P153" s="29">
        <f t="shared" si="33"/>
        <v>0</v>
      </c>
    </row>
    <row r="154" spans="1:16" hidden="1" x14ac:dyDescent="0.25">
      <c r="A154" s="25"/>
      <c r="B154" s="42"/>
      <c r="C154" s="42"/>
      <c r="D154" s="42"/>
      <c r="E154" s="42"/>
      <c r="F154" s="42"/>
      <c r="G154" s="42"/>
      <c r="H154" s="93"/>
      <c r="I154" s="2" t="str">
        <f t="shared" si="40"/>
        <v/>
      </c>
      <c r="J154" s="93">
        <f t="shared" si="41"/>
        <v>0</v>
      </c>
      <c r="K154" s="93">
        <f t="shared" si="42"/>
        <v>0</v>
      </c>
      <c r="O154" s="29">
        <f t="shared" si="32"/>
        <v>0</v>
      </c>
      <c r="P154" s="29">
        <f t="shared" si="33"/>
        <v>0</v>
      </c>
    </row>
    <row r="155" spans="1:16" hidden="1" x14ac:dyDescent="0.25">
      <c r="A155" s="25"/>
      <c r="B155" s="42"/>
      <c r="C155" s="42"/>
      <c r="D155" s="42"/>
      <c r="E155" s="42"/>
      <c r="F155" s="42"/>
      <c r="G155" s="42"/>
      <c r="H155" s="93"/>
      <c r="I155" s="2" t="str">
        <f t="shared" si="40"/>
        <v/>
      </c>
      <c r="J155" s="93">
        <f t="shared" si="41"/>
        <v>0</v>
      </c>
      <c r="K155" s="93">
        <f t="shared" si="42"/>
        <v>0</v>
      </c>
      <c r="O155" s="29">
        <f t="shared" si="32"/>
        <v>0</v>
      </c>
      <c r="P155" s="29">
        <f t="shared" si="33"/>
        <v>0</v>
      </c>
    </row>
    <row r="156" spans="1:16" x14ac:dyDescent="0.25">
      <c r="A156" s="25"/>
      <c r="B156" s="42"/>
      <c r="C156" s="42"/>
      <c r="D156" s="42"/>
      <c r="E156" s="42"/>
      <c r="F156" s="42"/>
      <c r="G156" s="42"/>
      <c r="H156" s="43"/>
      <c r="I156" s="2" t="str">
        <f>IF(I157="*","*","")</f>
        <v>*</v>
      </c>
      <c r="J156" s="43"/>
      <c r="K156" s="43"/>
      <c r="O156" s="29">
        <f t="shared" si="32"/>
        <v>0</v>
      </c>
      <c r="P156" s="29">
        <f t="shared" si="33"/>
        <v>0</v>
      </c>
    </row>
    <row r="157" spans="1:16" x14ac:dyDescent="0.25">
      <c r="A157" s="25"/>
      <c r="G157" s="21" t="s">
        <v>50</v>
      </c>
      <c r="H157" s="39">
        <f>SUM(H134:H156)</f>
        <v>49794.539599999996</v>
      </c>
      <c r="I157" s="2" t="str">
        <f>IF(H157&gt;0.49,"*","")</f>
        <v>*</v>
      </c>
      <c r="J157" s="39">
        <f t="shared" ref="J157:K157" si="46">SUM(J134:J156)</f>
        <v>49794.539599999996</v>
      </c>
      <c r="K157" s="39">
        <f t="shared" si="46"/>
        <v>0</v>
      </c>
      <c r="O157" s="29"/>
      <c r="P157" s="29">
        <f t="shared" si="33"/>
        <v>0</v>
      </c>
    </row>
    <row r="158" spans="1:16" x14ac:dyDescent="0.25">
      <c r="A158" s="25"/>
      <c r="B158" s="2"/>
      <c r="C158" s="2"/>
      <c r="D158" s="2"/>
      <c r="E158" s="2"/>
      <c r="F158" s="2"/>
      <c r="G158" s="5"/>
      <c r="I158" s="2" t="str">
        <f>IF(I157="*","*","")</f>
        <v>*</v>
      </c>
      <c r="J158" s="29"/>
      <c r="K158" s="29"/>
      <c r="O158" s="29">
        <f t="shared" si="32"/>
        <v>0</v>
      </c>
      <c r="P158" s="29">
        <f t="shared" si="33"/>
        <v>0</v>
      </c>
    </row>
    <row r="159" spans="1:16" x14ac:dyDescent="0.25">
      <c r="A159" s="25"/>
      <c r="B159" s="2">
        <f>+' Expense Input'!B36</f>
        <v>100</v>
      </c>
      <c r="C159" s="2">
        <f>+' Expense Input'!C36</f>
        <v>4000</v>
      </c>
      <c r="D159" s="2">
        <f>+' Expense Input'!D36</f>
        <v>7400</v>
      </c>
      <c r="E159" s="2">
        <f>+' Expense Input'!E36</f>
        <v>360</v>
      </c>
      <c r="F159" s="2"/>
      <c r="G159" s="2" t="str">
        <f>+' Expense Input'!F36</f>
        <v>Facility Lease</v>
      </c>
      <c r="H159" s="12">
        <f>+' Expense Input'!M36</f>
        <v>21000</v>
      </c>
      <c r="I159" s="2" t="str">
        <f>IF(H159&gt;0.49,"*","")</f>
        <v>*</v>
      </c>
      <c r="J159" s="93">
        <f>IF(B159=J$6,H159,0)</f>
        <v>21000</v>
      </c>
      <c r="K159" s="93">
        <f>IF(B159=K$6,H159,0)</f>
        <v>0</v>
      </c>
      <c r="O159" s="29">
        <f t="shared" si="32"/>
        <v>0</v>
      </c>
      <c r="P159" s="29">
        <f t="shared" si="33"/>
        <v>21000</v>
      </c>
    </row>
    <row r="160" spans="1:16" hidden="1" x14ac:dyDescent="0.25">
      <c r="A160" s="25"/>
      <c r="B160" s="2">
        <f>+' Expense Input'!B37</f>
        <v>100</v>
      </c>
      <c r="C160" s="2">
        <f>+' Expense Input'!C37</f>
        <v>4000</v>
      </c>
      <c r="D160" s="2">
        <f>+' Expense Input'!D37</f>
        <v>7400</v>
      </c>
      <c r="E160" s="2">
        <f>+' Expense Input'!E37</f>
        <v>630</v>
      </c>
      <c r="F160" s="2"/>
      <c r="G160" s="2" t="str">
        <f>+' Expense Input'!F37</f>
        <v>Facility Cost</v>
      </c>
      <c r="H160" s="12">
        <f>+' Expense Input'!M37</f>
        <v>0</v>
      </c>
      <c r="I160" s="2" t="str">
        <f>IF(H160&gt;0.49,"*","")</f>
        <v/>
      </c>
      <c r="J160" s="93">
        <f>IF(B160=J$6,H160,0)</f>
        <v>0</v>
      </c>
      <c r="K160" s="93">
        <f>IF(B160=K$6,H160,0)</f>
        <v>0</v>
      </c>
      <c r="O160" s="29">
        <f t="shared" si="32"/>
        <v>0</v>
      </c>
      <c r="P160" s="29">
        <f t="shared" si="33"/>
        <v>0</v>
      </c>
    </row>
    <row r="161" spans="1:16" hidden="1" x14ac:dyDescent="0.25">
      <c r="A161" s="25"/>
      <c r="B161" s="2"/>
      <c r="C161" s="2"/>
      <c r="D161" s="2"/>
      <c r="E161" s="2"/>
      <c r="F161" s="2"/>
      <c r="H161" s="12"/>
      <c r="I161" s="2" t="str">
        <f>IF(H161&gt;0.49,"*","")</f>
        <v/>
      </c>
      <c r="J161" s="93">
        <f>IF(B161=J$6,H161,0)</f>
        <v>0</v>
      </c>
      <c r="K161" s="93">
        <f>IF(B161=K$6,H161,0)</f>
        <v>0</v>
      </c>
      <c r="O161" s="29">
        <f t="shared" si="32"/>
        <v>0</v>
      </c>
      <c r="P161" s="29">
        <f t="shared" si="33"/>
        <v>0</v>
      </c>
    </row>
    <row r="162" spans="1:16" hidden="1" x14ac:dyDescent="0.25">
      <c r="A162" s="25"/>
      <c r="B162" s="2"/>
      <c r="C162" s="2"/>
      <c r="D162" s="2"/>
      <c r="E162" s="2"/>
      <c r="F162" s="2"/>
      <c r="H162" s="12"/>
      <c r="I162" s="2" t="str">
        <f>IF(H162&gt;0.49,"*","")</f>
        <v/>
      </c>
      <c r="J162" s="93">
        <f>IF(B162=J$6,H162,0)</f>
        <v>0</v>
      </c>
      <c r="K162" s="93">
        <f>IF(B162=K$6,H162,0)</f>
        <v>0</v>
      </c>
      <c r="O162" s="29">
        <f t="shared" si="32"/>
        <v>0</v>
      </c>
      <c r="P162" s="29">
        <f t="shared" si="33"/>
        <v>0</v>
      </c>
    </row>
    <row r="163" spans="1:16" x14ac:dyDescent="0.25">
      <c r="A163" s="25"/>
      <c r="B163" s="2"/>
      <c r="C163" s="2"/>
      <c r="D163" s="2"/>
      <c r="E163" s="2"/>
      <c r="F163" s="2"/>
      <c r="H163" s="43"/>
      <c r="I163" s="2" t="str">
        <f>IF(I164="*","*","")</f>
        <v>*</v>
      </c>
      <c r="J163" s="43"/>
      <c r="K163" s="43"/>
      <c r="O163" s="29">
        <f t="shared" si="32"/>
        <v>0</v>
      </c>
      <c r="P163" s="29">
        <f t="shared" si="33"/>
        <v>0</v>
      </c>
    </row>
    <row r="164" spans="1:16" x14ac:dyDescent="0.25">
      <c r="A164" s="25"/>
      <c r="B164" s="2"/>
      <c r="C164" s="2"/>
      <c r="D164" s="2"/>
      <c r="E164" s="2"/>
      <c r="F164" s="2"/>
      <c r="G164" s="21" t="s">
        <v>62</v>
      </c>
      <c r="H164" s="39">
        <f>SUM(H159:H163)</f>
        <v>21000</v>
      </c>
      <c r="I164" s="2" t="str">
        <f>IF(H164&gt;0.49,"*","")</f>
        <v>*</v>
      </c>
      <c r="J164" s="39">
        <f t="shared" ref="J164:K164" si="47">SUM(J159:J163)</f>
        <v>21000</v>
      </c>
      <c r="K164" s="39">
        <f t="shared" si="47"/>
        <v>0</v>
      </c>
      <c r="O164" s="29"/>
      <c r="P164" s="29">
        <f t="shared" si="33"/>
        <v>0</v>
      </c>
    </row>
    <row r="165" spans="1:16" x14ac:dyDescent="0.25">
      <c r="A165" s="25"/>
      <c r="B165" s="2"/>
      <c r="C165" s="2"/>
      <c r="D165" s="2"/>
      <c r="E165" s="2"/>
      <c r="F165" s="2"/>
      <c r="G165" s="21"/>
      <c r="H165" s="41"/>
      <c r="I165" s="2" t="str">
        <f>IF(I164="*","*","")</f>
        <v>*</v>
      </c>
      <c r="J165" s="41"/>
      <c r="K165" s="41"/>
      <c r="O165" s="29">
        <f t="shared" ref="O165:O227" si="48">IF(E165&lt;300,H165,0)</f>
        <v>0</v>
      </c>
      <c r="P165" s="29">
        <f t="shared" ref="P165:P228" si="49">IF(E165&gt;299,H165,0)</f>
        <v>0</v>
      </c>
    </row>
    <row r="166" spans="1:16" hidden="1" x14ac:dyDescent="0.25">
      <c r="A166" s="25"/>
      <c r="B166" s="2"/>
      <c r="C166" s="2"/>
      <c r="D166" s="2"/>
      <c r="E166" s="2"/>
      <c r="F166" s="2"/>
      <c r="H166" s="12"/>
      <c r="I166" s="2" t="str">
        <f>IF(H166&gt;0.49,"*","")</f>
        <v/>
      </c>
      <c r="J166" s="93">
        <f>IF(B166=J$6,H166,0)</f>
        <v>0</v>
      </c>
      <c r="K166" s="93">
        <f>IF(B166=K$6,H166,0)</f>
        <v>0</v>
      </c>
      <c r="O166" s="29">
        <f t="shared" si="48"/>
        <v>0</v>
      </c>
      <c r="P166" s="29">
        <f t="shared" si="49"/>
        <v>0</v>
      </c>
    </row>
    <row r="167" spans="1:16" x14ac:dyDescent="0.25">
      <c r="A167" s="25"/>
      <c r="B167" s="2">
        <f>' Expense Input'!B38</f>
        <v>100</v>
      </c>
      <c r="C167" s="2">
        <f>' Expense Input'!C38</f>
        <v>4000</v>
      </c>
      <c r="D167" s="2">
        <f>' Expense Input'!D38</f>
        <v>7500</v>
      </c>
      <c r="E167" s="2">
        <f>' Expense Input'!E38</f>
        <v>310</v>
      </c>
      <c r="F167" s="2"/>
      <c r="G167" s="2" t="str">
        <f>' Expense Input'!F38</f>
        <v>Contract Controller Service</v>
      </c>
      <c r="H167" s="12">
        <f>' Expense Input'!M38</f>
        <v>22793.992630679262</v>
      </c>
      <c r="I167" s="2" t="str">
        <f>IF(H167&gt;0.49,"*","")</f>
        <v>*</v>
      </c>
      <c r="J167" s="93">
        <f>IF(B167=J$6,H167,0)</f>
        <v>22793.992630679262</v>
      </c>
      <c r="K167" s="93">
        <f>IF(B167=K$6,H167,0)</f>
        <v>0</v>
      </c>
      <c r="O167" s="29">
        <f t="shared" si="48"/>
        <v>0</v>
      </c>
      <c r="P167" s="29">
        <f t="shared" si="49"/>
        <v>22793.992630679262</v>
      </c>
    </row>
    <row r="168" spans="1:16" x14ac:dyDescent="0.25">
      <c r="A168" s="25"/>
      <c r="B168" s="2">
        <f>' Expense Input'!B39</f>
        <v>100</v>
      </c>
      <c r="C168" s="2">
        <f>' Expense Input'!C39</f>
        <v>4000</v>
      </c>
      <c r="D168" s="2">
        <f>' Expense Input'!D39</f>
        <v>7500</v>
      </c>
      <c r="E168" s="2">
        <f>' Expense Input'!E39</f>
        <v>311</v>
      </c>
      <c r="F168" s="2"/>
      <c r="G168" s="2" t="str">
        <f>' Expense Input'!F39</f>
        <v>Payroll Service</v>
      </c>
      <c r="H168" s="12">
        <f>' Expense Input'!M39</f>
        <v>4867.72741268556</v>
      </c>
      <c r="I168" s="2" t="str">
        <f>IF(H168&gt;0.49,"*","")</f>
        <v>*</v>
      </c>
      <c r="J168" s="93">
        <f>IF(B168=J$6,H168,0)</f>
        <v>4867.72741268556</v>
      </c>
      <c r="K168" s="93">
        <f>IF(B168=K$6,H168,0)</f>
        <v>0</v>
      </c>
      <c r="O168" s="29">
        <f t="shared" si="48"/>
        <v>0</v>
      </c>
      <c r="P168" s="29">
        <f t="shared" si="49"/>
        <v>4867.72741268556</v>
      </c>
    </row>
    <row r="169" spans="1:16" hidden="1" x14ac:dyDescent="0.25">
      <c r="A169" s="25"/>
      <c r="B169" s="2"/>
      <c r="C169" s="2"/>
      <c r="D169" s="2"/>
      <c r="E169" s="2"/>
      <c r="F169" s="2"/>
      <c r="H169" s="12"/>
      <c r="I169" s="2" t="str">
        <f>IF(H169&gt;0.49,"*","")</f>
        <v/>
      </c>
      <c r="J169" s="93">
        <f>IF(B169=J$6,H169,0)</f>
        <v>0</v>
      </c>
      <c r="K169" s="93">
        <f>IF(B169=K$6,H169,0)</f>
        <v>0</v>
      </c>
      <c r="O169" s="29">
        <f t="shared" si="48"/>
        <v>0</v>
      </c>
      <c r="P169" s="29">
        <f t="shared" si="49"/>
        <v>0</v>
      </c>
    </row>
    <row r="170" spans="1:16" x14ac:dyDescent="0.25">
      <c r="A170" s="25"/>
      <c r="B170" s="2"/>
      <c r="C170" s="2"/>
      <c r="D170" s="2"/>
      <c r="E170" s="2"/>
      <c r="F170" s="2"/>
      <c r="H170" s="43"/>
      <c r="I170" s="2" t="str">
        <f>IF(I171="*","*","")</f>
        <v>*</v>
      </c>
      <c r="J170" s="43"/>
      <c r="K170" s="43"/>
      <c r="O170" s="29">
        <f t="shared" si="48"/>
        <v>0</v>
      </c>
      <c r="P170" s="29">
        <f t="shared" si="49"/>
        <v>0</v>
      </c>
    </row>
    <row r="171" spans="1:16" x14ac:dyDescent="0.25">
      <c r="A171" s="25"/>
      <c r="G171" s="21" t="s">
        <v>51</v>
      </c>
      <c r="H171" s="39">
        <f>SUM(H166:H170)</f>
        <v>27661.720043364821</v>
      </c>
      <c r="I171" s="2" t="str">
        <f>IF(H171&gt;0.49,"*","")</f>
        <v>*</v>
      </c>
      <c r="J171" s="39">
        <f t="shared" ref="J171:K171" si="50">SUM(J166:J170)</f>
        <v>27661.720043364821</v>
      </c>
      <c r="K171" s="39">
        <f t="shared" si="50"/>
        <v>0</v>
      </c>
      <c r="O171" s="29"/>
      <c r="P171" s="29">
        <f t="shared" si="49"/>
        <v>0</v>
      </c>
    </row>
    <row r="172" spans="1:16" x14ac:dyDescent="0.25">
      <c r="A172" s="25"/>
      <c r="G172" s="21"/>
      <c r="I172" s="2" t="str">
        <f>IF(I171="*","*","")</f>
        <v>*</v>
      </c>
      <c r="J172" s="29"/>
      <c r="K172" s="29"/>
      <c r="O172" s="29">
        <f t="shared" si="48"/>
        <v>0</v>
      </c>
      <c r="P172" s="29">
        <f t="shared" si="49"/>
        <v>0</v>
      </c>
    </row>
    <row r="173" spans="1:16" hidden="1" x14ac:dyDescent="0.25">
      <c r="A173" s="25"/>
      <c r="B173" s="42">
        <v>410</v>
      </c>
      <c r="C173" s="42">
        <v>4000</v>
      </c>
      <c r="D173" s="42">
        <v>7600</v>
      </c>
      <c r="E173" s="42">
        <v>150</v>
      </c>
      <c r="F173" s="42"/>
      <c r="G173" s="42" t="s">
        <v>191</v>
      </c>
      <c r="H173" s="93">
        <f>+Payroll!E133</f>
        <v>0</v>
      </c>
      <c r="I173" s="2" t="str">
        <f t="shared" ref="I173:I183" si="51">IF(H173&gt;0.49,"*","")</f>
        <v/>
      </c>
      <c r="J173" s="93">
        <f t="shared" ref="J173:J183" si="52">IF(B173=J$6,H173,0)</f>
        <v>0</v>
      </c>
      <c r="K173" s="93">
        <f t="shared" ref="K173:K183" si="53">IF(B173=K$6,H173,0)</f>
        <v>0</v>
      </c>
      <c r="O173" s="29">
        <f t="shared" si="48"/>
        <v>0</v>
      </c>
      <c r="P173" s="29">
        <f t="shared" si="49"/>
        <v>0</v>
      </c>
    </row>
    <row r="174" spans="1:16" hidden="1" x14ac:dyDescent="0.25">
      <c r="A174" s="25"/>
      <c r="B174" s="42">
        <v>410</v>
      </c>
      <c r="C174" s="42">
        <v>4000</v>
      </c>
      <c r="D174" s="42">
        <v>7600</v>
      </c>
      <c r="E174" s="42">
        <v>210</v>
      </c>
      <c r="F174" s="42"/>
      <c r="G174" s="42" t="s">
        <v>73</v>
      </c>
      <c r="H174" s="93">
        <f>+Payroll!F133</f>
        <v>0</v>
      </c>
      <c r="I174" s="2" t="str">
        <f t="shared" si="51"/>
        <v/>
      </c>
      <c r="J174" s="93">
        <f t="shared" si="52"/>
        <v>0</v>
      </c>
      <c r="K174" s="93">
        <f t="shared" si="53"/>
        <v>0</v>
      </c>
      <c r="O174" s="29">
        <f t="shared" si="48"/>
        <v>0</v>
      </c>
      <c r="P174" s="29">
        <f t="shared" si="49"/>
        <v>0</v>
      </c>
    </row>
    <row r="175" spans="1:16" hidden="1" x14ac:dyDescent="0.25">
      <c r="A175" s="25"/>
      <c r="B175" s="42">
        <v>410</v>
      </c>
      <c r="C175" s="42">
        <v>4000</v>
      </c>
      <c r="D175" s="42">
        <v>7600</v>
      </c>
      <c r="E175" s="42">
        <v>220</v>
      </c>
      <c r="F175" s="42"/>
      <c r="G175" s="42" t="s">
        <v>74</v>
      </c>
      <c r="H175" s="93">
        <f>+Payroll!H133</f>
        <v>0</v>
      </c>
      <c r="I175" s="2" t="str">
        <f t="shared" si="51"/>
        <v/>
      </c>
      <c r="J175" s="93">
        <f t="shared" si="52"/>
        <v>0</v>
      </c>
      <c r="K175" s="93">
        <f t="shared" si="53"/>
        <v>0</v>
      </c>
      <c r="O175" s="29">
        <f t="shared" si="48"/>
        <v>0</v>
      </c>
      <c r="P175" s="29">
        <f t="shared" si="49"/>
        <v>0</v>
      </c>
    </row>
    <row r="176" spans="1:16" hidden="1" x14ac:dyDescent="0.25">
      <c r="A176" s="25"/>
      <c r="B176" s="42">
        <v>410</v>
      </c>
      <c r="C176" s="42">
        <v>4000</v>
      </c>
      <c r="D176" s="42">
        <v>7600</v>
      </c>
      <c r="E176" s="42">
        <v>230</v>
      </c>
      <c r="F176" s="42"/>
      <c r="G176" s="42" t="s">
        <v>75</v>
      </c>
      <c r="H176" s="93">
        <f>+Payroll!I133</f>
        <v>0</v>
      </c>
      <c r="I176" s="2" t="str">
        <f t="shared" si="51"/>
        <v/>
      </c>
      <c r="J176" s="93">
        <f t="shared" si="52"/>
        <v>0</v>
      </c>
      <c r="K176" s="93">
        <f t="shared" si="53"/>
        <v>0</v>
      </c>
      <c r="O176" s="29">
        <f t="shared" si="48"/>
        <v>0</v>
      </c>
      <c r="P176" s="29">
        <f t="shared" si="49"/>
        <v>0</v>
      </c>
    </row>
    <row r="177" spans="1:16" hidden="1" x14ac:dyDescent="0.25">
      <c r="A177" s="25"/>
      <c r="B177" s="42">
        <v>410</v>
      </c>
      <c r="C177" s="42">
        <v>4000</v>
      </c>
      <c r="D177" s="42">
        <v>7600</v>
      </c>
      <c r="E177" s="42">
        <v>240</v>
      </c>
      <c r="F177" s="42"/>
      <c r="G177" s="42" t="s">
        <v>76</v>
      </c>
      <c r="H177" s="93">
        <f>+Payroll!K133</f>
        <v>0</v>
      </c>
      <c r="I177" s="2" t="str">
        <f t="shared" si="51"/>
        <v/>
      </c>
      <c r="J177" s="93">
        <f t="shared" si="52"/>
        <v>0</v>
      </c>
      <c r="K177" s="93">
        <f t="shared" si="53"/>
        <v>0</v>
      </c>
      <c r="O177" s="29">
        <f t="shared" si="48"/>
        <v>0</v>
      </c>
      <c r="P177" s="29">
        <f t="shared" si="49"/>
        <v>0</v>
      </c>
    </row>
    <row r="178" spans="1:16" hidden="1" x14ac:dyDescent="0.25">
      <c r="A178" s="25"/>
      <c r="B178" s="42">
        <v>410</v>
      </c>
      <c r="C178" s="42">
        <v>4000</v>
      </c>
      <c r="D178" s="42">
        <v>7600</v>
      </c>
      <c r="E178" s="42">
        <v>250</v>
      </c>
      <c r="F178" s="42"/>
      <c r="G178" s="42" t="s">
        <v>77</v>
      </c>
      <c r="H178" s="93">
        <f>+Payroll!L133</f>
        <v>0</v>
      </c>
      <c r="I178" s="2" t="str">
        <f t="shared" si="51"/>
        <v/>
      </c>
      <c r="J178" s="93">
        <f t="shared" si="52"/>
        <v>0</v>
      </c>
      <c r="K178" s="93">
        <f t="shared" si="53"/>
        <v>0</v>
      </c>
      <c r="O178" s="29">
        <f t="shared" si="48"/>
        <v>0</v>
      </c>
      <c r="P178" s="29">
        <f t="shared" si="49"/>
        <v>0</v>
      </c>
    </row>
    <row r="179" spans="1:16" hidden="1" x14ac:dyDescent="0.25">
      <c r="A179" s="25"/>
      <c r="B179" s="42"/>
      <c r="C179" s="42"/>
      <c r="D179" s="42"/>
      <c r="E179" s="42"/>
      <c r="F179" s="42"/>
      <c r="G179" s="42"/>
      <c r="H179" s="93"/>
      <c r="I179" s="2" t="str">
        <f t="shared" si="51"/>
        <v/>
      </c>
      <c r="J179" s="93">
        <f t="shared" si="52"/>
        <v>0</v>
      </c>
      <c r="K179" s="93">
        <f t="shared" si="53"/>
        <v>0</v>
      </c>
      <c r="O179" s="29">
        <f t="shared" si="48"/>
        <v>0</v>
      </c>
      <c r="P179" s="29">
        <f t="shared" si="49"/>
        <v>0</v>
      </c>
    </row>
    <row r="180" spans="1:16" hidden="1" x14ac:dyDescent="0.25">
      <c r="A180" s="25"/>
      <c r="B180" s="42"/>
      <c r="C180" s="42"/>
      <c r="D180" s="42"/>
      <c r="E180" s="42"/>
      <c r="F180" s="42"/>
      <c r="G180" s="42"/>
      <c r="H180" s="93"/>
      <c r="I180" s="2" t="str">
        <f t="shared" si="51"/>
        <v/>
      </c>
      <c r="J180" s="93">
        <f t="shared" si="52"/>
        <v>0</v>
      </c>
      <c r="K180" s="93">
        <f t="shared" si="53"/>
        <v>0</v>
      </c>
      <c r="O180" s="29">
        <f t="shared" si="48"/>
        <v>0</v>
      </c>
      <c r="P180" s="29">
        <f t="shared" si="49"/>
        <v>0</v>
      </c>
    </row>
    <row r="181" spans="1:16" hidden="1" x14ac:dyDescent="0.25">
      <c r="A181" s="25"/>
      <c r="B181" s="42"/>
      <c r="C181" s="42"/>
      <c r="D181" s="42"/>
      <c r="E181" s="42"/>
      <c r="F181" s="42"/>
      <c r="G181" s="42"/>
      <c r="H181" s="93"/>
      <c r="I181" s="2" t="str">
        <f t="shared" si="51"/>
        <v/>
      </c>
      <c r="J181" s="93">
        <f t="shared" si="52"/>
        <v>0</v>
      </c>
      <c r="K181" s="93">
        <f t="shared" si="53"/>
        <v>0</v>
      </c>
      <c r="O181" s="29">
        <f t="shared" si="48"/>
        <v>0</v>
      </c>
      <c r="P181" s="29">
        <f t="shared" si="49"/>
        <v>0</v>
      </c>
    </row>
    <row r="182" spans="1:16" hidden="1" x14ac:dyDescent="0.25">
      <c r="A182" s="25"/>
      <c r="B182" s="42"/>
      <c r="C182" s="42"/>
      <c r="D182" s="42"/>
      <c r="E182" s="42"/>
      <c r="F182" s="42"/>
      <c r="G182" s="42"/>
      <c r="H182" s="93"/>
      <c r="I182" s="2" t="str">
        <f t="shared" ref="I182" si="54">IF(H182&gt;0.49,"*","")</f>
        <v/>
      </c>
      <c r="J182" s="93">
        <f t="shared" si="52"/>
        <v>0</v>
      </c>
      <c r="K182" s="93">
        <f t="shared" si="53"/>
        <v>0</v>
      </c>
      <c r="O182" s="29">
        <f t="shared" si="48"/>
        <v>0</v>
      </c>
      <c r="P182" s="29">
        <f t="shared" si="49"/>
        <v>0</v>
      </c>
    </row>
    <row r="183" spans="1:16" hidden="1" x14ac:dyDescent="0.25">
      <c r="A183" s="25"/>
      <c r="B183" s="42"/>
      <c r="C183" s="42"/>
      <c r="D183" s="42"/>
      <c r="E183" s="42"/>
      <c r="F183" s="42"/>
      <c r="G183" s="42"/>
      <c r="H183" s="93"/>
      <c r="I183" s="2" t="str">
        <f t="shared" si="51"/>
        <v/>
      </c>
      <c r="J183" s="93">
        <f t="shared" si="52"/>
        <v>0</v>
      </c>
      <c r="K183" s="93">
        <f t="shared" si="53"/>
        <v>0</v>
      </c>
      <c r="O183" s="29">
        <f t="shared" si="48"/>
        <v>0</v>
      </c>
      <c r="P183" s="29">
        <f t="shared" si="49"/>
        <v>0</v>
      </c>
    </row>
    <row r="184" spans="1:16" hidden="1" x14ac:dyDescent="0.25">
      <c r="A184" s="25"/>
      <c r="B184" s="42"/>
      <c r="C184" s="42"/>
      <c r="D184" s="42"/>
      <c r="E184" s="42"/>
      <c r="F184" s="42"/>
      <c r="G184" s="42"/>
      <c r="H184" s="43"/>
      <c r="I184" s="2" t="str">
        <f>IF(I185="*","*","")</f>
        <v/>
      </c>
      <c r="J184" s="43"/>
      <c r="K184" s="43"/>
      <c r="O184" s="29">
        <f t="shared" si="48"/>
        <v>0</v>
      </c>
      <c r="P184" s="29">
        <f t="shared" si="49"/>
        <v>0</v>
      </c>
    </row>
    <row r="185" spans="1:16" hidden="1" x14ac:dyDescent="0.25">
      <c r="A185" s="25"/>
      <c r="G185" s="21" t="s">
        <v>52</v>
      </c>
      <c r="H185" s="39">
        <f>SUM(H173:H184)</f>
        <v>0</v>
      </c>
      <c r="I185" s="2" t="str">
        <f>IF(H185&gt;0.49,"*","")</f>
        <v/>
      </c>
      <c r="J185" s="39">
        <f t="shared" ref="J185:K185" si="55">SUM(J173:J184)</f>
        <v>0</v>
      </c>
      <c r="K185" s="39">
        <f t="shared" si="55"/>
        <v>0</v>
      </c>
      <c r="O185" s="29">
        <f t="shared" si="48"/>
        <v>0</v>
      </c>
      <c r="P185" s="29">
        <f t="shared" si="49"/>
        <v>0</v>
      </c>
    </row>
    <row r="186" spans="1:16" hidden="1" x14ac:dyDescent="0.25">
      <c r="A186" s="25"/>
      <c r="B186" s="42"/>
      <c r="C186" s="42"/>
      <c r="D186" s="42"/>
      <c r="E186" s="42"/>
      <c r="F186" s="42"/>
      <c r="G186" s="42"/>
      <c r="H186" s="43"/>
      <c r="I186" s="2" t="str">
        <f>IF(I185="*","*","")</f>
        <v/>
      </c>
      <c r="J186" s="43"/>
      <c r="K186" s="43"/>
      <c r="O186" s="29">
        <f t="shared" si="48"/>
        <v>0</v>
      </c>
      <c r="P186" s="29">
        <f t="shared" si="49"/>
        <v>0</v>
      </c>
    </row>
    <row r="187" spans="1:16" hidden="1" x14ac:dyDescent="0.25">
      <c r="A187" s="25"/>
      <c r="B187" s="42">
        <v>100</v>
      </c>
      <c r="C187" s="42">
        <v>4000</v>
      </c>
      <c r="D187" s="42">
        <v>7800</v>
      </c>
      <c r="E187" s="42">
        <v>160</v>
      </c>
      <c r="F187" s="42"/>
      <c r="G187" s="42" t="s">
        <v>269</v>
      </c>
      <c r="H187" s="43">
        <f>+Payroll!E118</f>
        <v>0</v>
      </c>
      <c r="I187" s="2" t="str">
        <f t="shared" ref="I187:I193" si="56">IF(H187&gt;0.49,"*","")</f>
        <v/>
      </c>
      <c r="J187" s="93">
        <f t="shared" ref="J187:J201" si="57">IF(B187=J$6,H187,0)</f>
        <v>0</v>
      </c>
      <c r="K187" s="93">
        <f t="shared" ref="K187:K201" si="58">IF(B187=K$6,H187,0)</f>
        <v>0</v>
      </c>
      <c r="O187" s="29">
        <f t="shared" si="48"/>
        <v>0</v>
      </c>
      <c r="P187" s="29">
        <f t="shared" si="49"/>
        <v>0</v>
      </c>
    </row>
    <row r="188" spans="1:16" hidden="1" x14ac:dyDescent="0.25">
      <c r="A188" s="25"/>
      <c r="B188" s="42">
        <v>100</v>
      </c>
      <c r="C188" s="42">
        <v>4000</v>
      </c>
      <c r="D188" s="42">
        <v>7800</v>
      </c>
      <c r="E188" s="42">
        <v>210</v>
      </c>
      <c r="F188" s="42"/>
      <c r="G188" s="42" t="s">
        <v>73</v>
      </c>
      <c r="H188" s="43">
        <f>+Payroll!F118</f>
        <v>0</v>
      </c>
      <c r="I188" s="2" t="str">
        <f t="shared" si="56"/>
        <v/>
      </c>
      <c r="J188" s="93">
        <f t="shared" si="57"/>
        <v>0</v>
      </c>
      <c r="K188" s="93">
        <f t="shared" si="58"/>
        <v>0</v>
      </c>
      <c r="O188" s="29">
        <f t="shared" si="48"/>
        <v>0</v>
      </c>
      <c r="P188" s="29">
        <f t="shared" si="49"/>
        <v>0</v>
      </c>
    </row>
    <row r="189" spans="1:16" hidden="1" x14ac:dyDescent="0.25">
      <c r="A189" s="25"/>
      <c r="B189" s="42">
        <v>100</v>
      </c>
      <c r="C189" s="42">
        <v>4000</v>
      </c>
      <c r="D189" s="42">
        <v>7800</v>
      </c>
      <c r="E189" s="42">
        <v>220</v>
      </c>
      <c r="F189" s="42"/>
      <c r="G189" s="42" t="s">
        <v>74</v>
      </c>
      <c r="H189" s="43">
        <f>+Payroll!H118</f>
        <v>0</v>
      </c>
      <c r="I189" s="2" t="str">
        <f t="shared" si="56"/>
        <v/>
      </c>
      <c r="J189" s="93">
        <f t="shared" si="57"/>
        <v>0</v>
      </c>
      <c r="K189" s="93">
        <f t="shared" si="58"/>
        <v>0</v>
      </c>
      <c r="O189" s="29">
        <f t="shared" si="48"/>
        <v>0</v>
      </c>
      <c r="P189" s="29">
        <f t="shared" si="49"/>
        <v>0</v>
      </c>
    </row>
    <row r="190" spans="1:16" hidden="1" x14ac:dyDescent="0.25">
      <c r="A190" s="25"/>
      <c r="B190" s="42">
        <v>100</v>
      </c>
      <c r="C190" s="42">
        <v>4000</v>
      </c>
      <c r="D190" s="42">
        <v>7800</v>
      </c>
      <c r="E190" s="42">
        <v>230</v>
      </c>
      <c r="F190" s="42"/>
      <c r="G190" s="42" t="s">
        <v>75</v>
      </c>
      <c r="H190" s="43">
        <f>+Payroll!I118</f>
        <v>0</v>
      </c>
      <c r="I190" s="2" t="str">
        <f t="shared" si="56"/>
        <v/>
      </c>
      <c r="J190" s="93">
        <f t="shared" si="57"/>
        <v>0</v>
      </c>
      <c r="K190" s="93">
        <f t="shared" si="58"/>
        <v>0</v>
      </c>
      <c r="O190" s="29">
        <f t="shared" si="48"/>
        <v>0</v>
      </c>
      <c r="P190" s="29">
        <f t="shared" si="49"/>
        <v>0</v>
      </c>
    </row>
    <row r="191" spans="1:16" hidden="1" x14ac:dyDescent="0.25">
      <c r="A191" s="25"/>
      <c r="B191" s="42">
        <v>100</v>
      </c>
      <c r="C191" s="42">
        <v>4000</v>
      </c>
      <c r="D191" s="42">
        <v>7800</v>
      </c>
      <c r="E191" s="42">
        <v>240</v>
      </c>
      <c r="F191" s="42"/>
      <c r="G191" s="42" t="s">
        <v>76</v>
      </c>
      <c r="H191" s="43">
        <f>+Payroll!K118</f>
        <v>0</v>
      </c>
      <c r="I191" s="2" t="str">
        <f t="shared" si="56"/>
        <v/>
      </c>
      <c r="J191" s="93">
        <f t="shared" si="57"/>
        <v>0</v>
      </c>
      <c r="K191" s="93">
        <f t="shared" si="58"/>
        <v>0</v>
      </c>
      <c r="O191" s="29">
        <f t="shared" si="48"/>
        <v>0</v>
      </c>
      <c r="P191" s="29">
        <f t="shared" si="49"/>
        <v>0</v>
      </c>
    </row>
    <row r="192" spans="1:16" hidden="1" x14ac:dyDescent="0.25">
      <c r="A192" s="25"/>
      <c r="B192" s="42">
        <v>100</v>
      </c>
      <c r="C192" s="42">
        <v>4000</v>
      </c>
      <c r="D192" s="42">
        <v>7800</v>
      </c>
      <c r="E192" s="42">
        <v>250</v>
      </c>
      <c r="F192" s="42"/>
      <c r="G192" s="42" t="s">
        <v>77</v>
      </c>
      <c r="H192" s="43">
        <f>+Payroll!L118</f>
        <v>0</v>
      </c>
      <c r="I192" s="2" t="str">
        <f t="shared" si="56"/>
        <v/>
      </c>
      <c r="J192" s="93">
        <f t="shared" si="57"/>
        <v>0</v>
      </c>
      <c r="K192" s="93">
        <f t="shared" si="58"/>
        <v>0</v>
      </c>
      <c r="O192" s="29">
        <f t="shared" si="48"/>
        <v>0</v>
      </c>
      <c r="P192" s="29">
        <f t="shared" si="49"/>
        <v>0</v>
      </c>
    </row>
    <row r="193" spans="1:16" hidden="1" x14ac:dyDescent="0.25">
      <c r="A193" s="25"/>
      <c r="B193" s="42"/>
      <c r="C193" s="42"/>
      <c r="D193" s="42"/>
      <c r="E193" s="42"/>
      <c r="F193" s="42"/>
      <c r="G193" s="42"/>
      <c r="H193" s="93"/>
      <c r="I193" s="2" t="str">
        <f t="shared" si="56"/>
        <v/>
      </c>
      <c r="J193" s="93">
        <f t="shared" ref="J193" si="59">IF(B193=J$6,H193,0)</f>
        <v>0</v>
      </c>
      <c r="K193" s="93">
        <f t="shared" ref="K193" si="60">IF(B193=K$6,H193,0)</f>
        <v>0</v>
      </c>
      <c r="O193" s="29">
        <f t="shared" si="48"/>
        <v>0</v>
      </c>
      <c r="P193" s="29">
        <f t="shared" si="49"/>
        <v>0</v>
      </c>
    </row>
    <row r="194" spans="1:16" x14ac:dyDescent="0.25">
      <c r="A194" s="25"/>
      <c r="B194" s="42">
        <f>+' Expense Input'!B40</f>
        <v>100</v>
      </c>
      <c r="C194" s="42">
        <f>+' Expense Input'!C40</f>
        <v>4000</v>
      </c>
      <c r="D194" s="42">
        <f>+' Expense Input'!D40</f>
        <v>7800</v>
      </c>
      <c r="E194" s="42">
        <f>+' Expense Input'!E40</f>
        <v>350</v>
      </c>
      <c r="F194" s="42"/>
      <c r="G194" s="42" t="str">
        <f>+' Expense Input'!F40</f>
        <v>Transportation - Contracted Services</v>
      </c>
      <c r="H194" s="93">
        <f>+' Expense Input'!M40</f>
        <v>89063.797501034613</v>
      </c>
      <c r="I194" s="2" t="str">
        <f t="shared" ref="I194:I201" si="61">IF(H194&gt;0.49,"*","")</f>
        <v>*</v>
      </c>
      <c r="J194" s="93">
        <f t="shared" si="57"/>
        <v>89063.797501034613</v>
      </c>
      <c r="K194" s="93">
        <f t="shared" si="58"/>
        <v>0</v>
      </c>
      <c r="O194" s="29">
        <f t="shared" si="48"/>
        <v>0</v>
      </c>
      <c r="P194" s="29">
        <f t="shared" si="49"/>
        <v>89063.797501034613</v>
      </c>
    </row>
    <row r="195" spans="1:16" hidden="1" x14ac:dyDescent="0.25">
      <c r="A195" s="25"/>
      <c r="B195" s="42">
        <f>+' Expense Input'!B41</f>
        <v>495</v>
      </c>
      <c r="C195" s="42">
        <f>+' Expense Input'!C41</f>
        <v>4000</v>
      </c>
      <c r="D195" s="42">
        <f>+' Expense Input'!D41</f>
        <v>7800</v>
      </c>
      <c r="E195" s="42">
        <f>+' Expense Input'!E41</f>
        <v>350</v>
      </c>
      <c r="F195" s="42"/>
      <c r="G195" s="42" t="str">
        <f>+' Expense Input'!F41</f>
        <v>AWD Transportation Contracted Services</v>
      </c>
      <c r="H195" s="93">
        <f>+' Expense Input'!M41</f>
        <v>0</v>
      </c>
      <c r="I195" s="2" t="str">
        <f t="shared" si="61"/>
        <v/>
      </c>
      <c r="J195" s="93">
        <f t="shared" si="57"/>
        <v>0</v>
      </c>
      <c r="K195" s="93">
        <f t="shared" si="58"/>
        <v>0</v>
      </c>
      <c r="O195" s="29">
        <f t="shared" si="48"/>
        <v>0</v>
      </c>
      <c r="P195" s="29">
        <f t="shared" si="49"/>
        <v>0</v>
      </c>
    </row>
    <row r="196" spans="1:16" x14ac:dyDescent="0.25">
      <c r="A196" s="25"/>
      <c r="B196" s="42">
        <f>+' Expense Input'!B42</f>
        <v>100</v>
      </c>
      <c r="C196" s="42">
        <f>+' Expense Input'!C42</f>
        <v>4000</v>
      </c>
      <c r="D196" s="42">
        <f>+' Expense Input'!D42</f>
        <v>7800</v>
      </c>
      <c r="E196" s="42">
        <f>+' Expense Input'!E42</f>
        <v>550</v>
      </c>
      <c r="F196" s="42"/>
      <c r="G196" s="42" t="str">
        <f>+' Expense Input'!F42</f>
        <v>Transportation - Repair</v>
      </c>
      <c r="H196" s="93">
        <f>+' Expense Input'!M42</f>
        <v>1821.7874999999999</v>
      </c>
      <c r="I196" s="2" t="str">
        <f t="shared" si="61"/>
        <v>*</v>
      </c>
      <c r="J196" s="93">
        <f t="shared" si="57"/>
        <v>1821.7874999999999</v>
      </c>
      <c r="K196" s="93">
        <f t="shared" si="58"/>
        <v>0</v>
      </c>
      <c r="O196" s="29">
        <f t="shared" si="48"/>
        <v>0</v>
      </c>
      <c r="P196" s="29">
        <f t="shared" si="49"/>
        <v>1821.7874999999999</v>
      </c>
    </row>
    <row r="197" spans="1:16" hidden="1" x14ac:dyDescent="0.25">
      <c r="A197" s="25"/>
      <c r="B197" s="42"/>
      <c r="C197" s="42"/>
      <c r="D197" s="42"/>
      <c r="E197" s="42"/>
      <c r="F197" s="42"/>
      <c r="G197" s="42"/>
      <c r="H197" s="93"/>
      <c r="I197" s="2" t="str">
        <f t="shared" si="61"/>
        <v/>
      </c>
      <c r="J197" s="93">
        <f t="shared" si="57"/>
        <v>0</v>
      </c>
      <c r="K197" s="93">
        <f t="shared" si="58"/>
        <v>0</v>
      </c>
      <c r="O197" s="29">
        <f t="shared" si="48"/>
        <v>0</v>
      </c>
      <c r="P197" s="29">
        <f t="shared" si="49"/>
        <v>0</v>
      </c>
    </row>
    <row r="198" spans="1:16" hidden="1" x14ac:dyDescent="0.25">
      <c r="A198" s="25"/>
      <c r="B198" s="42"/>
      <c r="C198" s="42"/>
      <c r="D198" s="42"/>
      <c r="E198" s="42"/>
      <c r="F198" s="42"/>
      <c r="G198" s="42"/>
      <c r="H198" s="93"/>
      <c r="I198" s="2" t="str">
        <f t="shared" si="61"/>
        <v/>
      </c>
      <c r="J198" s="93">
        <f t="shared" si="57"/>
        <v>0</v>
      </c>
      <c r="K198" s="93">
        <f t="shared" si="58"/>
        <v>0</v>
      </c>
      <c r="O198" s="29">
        <f t="shared" si="48"/>
        <v>0</v>
      </c>
      <c r="P198" s="29">
        <f t="shared" si="49"/>
        <v>0</v>
      </c>
    </row>
    <row r="199" spans="1:16" hidden="1" x14ac:dyDescent="0.25">
      <c r="A199" s="25"/>
      <c r="B199" s="42"/>
      <c r="C199" s="42"/>
      <c r="D199" s="42"/>
      <c r="E199" s="42"/>
      <c r="F199" s="42"/>
      <c r="G199" s="42"/>
      <c r="H199" s="93"/>
      <c r="I199" s="2" t="str">
        <f t="shared" si="61"/>
        <v/>
      </c>
      <c r="J199" s="93">
        <f t="shared" si="57"/>
        <v>0</v>
      </c>
      <c r="K199" s="93">
        <f t="shared" si="58"/>
        <v>0</v>
      </c>
      <c r="O199" s="29">
        <f t="shared" si="48"/>
        <v>0</v>
      </c>
      <c r="P199" s="29">
        <f t="shared" si="49"/>
        <v>0</v>
      </c>
    </row>
    <row r="200" spans="1:16" hidden="1" x14ac:dyDescent="0.25">
      <c r="A200" s="25"/>
      <c r="B200" s="42"/>
      <c r="C200" s="42"/>
      <c r="D200" s="42"/>
      <c r="E200" s="42"/>
      <c r="F200" s="42"/>
      <c r="G200" s="42"/>
      <c r="H200" s="93"/>
      <c r="I200" s="2" t="str">
        <f t="shared" si="61"/>
        <v/>
      </c>
      <c r="J200" s="93">
        <f t="shared" si="57"/>
        <v>0</v>
      </c>
      <c r="K200" s="93">
        <f t="shared" si="58"/>
        <v>0</v>
      </c>
      <c r="O200" s="29">
        <f t="shared" si="48"/>
        <v>0</v>
      </c>
      <c r="P200" s="29">
        <f t="shared" si="49"/>
        <v>0</v>
      </c>
    </row>
    <row r="201" spans="1:16" hidden="1" x14ac:dyDescent="0.25">
      <c r="A201" s="25"/>
      <c r="B201" s="42"/>
      <c r="C201" s="42"/>
      <c r="D201" s="42"/>
      <c r="E201" s="42"/>
      <c r="F201" s="42"/>
      <c r="G201" s="42"/>
      <c r="H201" s="93"/>
      <c r="I201" s="2" t="str">
        <f t="shared" si="61"/>
        <v/>
      </c>
      <c r="J201" s="93">
        <f t="shared" si="57"/>
        <v>0</v>
      </c>
      <c r="K201" s="93">
        <f t="shared" si="58"/>
        <v>0</v>
      </c>
      <c r="O201" s="29">
        <f t="shared" si="48"/>
        <v>0</v>
      </c>
      <c r="P201" s="29">
        <f t="shared" si="49"/>
        <v>0</v>
      </c>
    </row>
    <row r="202" spans="1:16" x14ac:dyDescent="0.25">
      <c r="A202" s="25"/>
      <c r="B202" s="42"/>
      <c r="C202" s="42"/>
      <c r="D202" s="42"/>
      <c r="E202" s="42"/>
      <c r="F202" s="42"/>
      <c r="G202" s="42"/>
      <c r="H202" s="43"/>
      <c r="I202" s="2" t="str">
        <f>IF(I203="*","*","")</f>
        <v>*</v>
      </c>
      <c r="J202" s="43"/>
      <c r="K202" s="43"/>
      <c r="O202" s="29">
        <f t="shared" si="48"/>
        <v>0</v>
      </c>
      <c r="P202" s="29">
        <f t="shared" si="49"/>
        <v>0</v>
      </c>
    </row>
    <row r="203" spans="1:16" x14ac:dyDescent="0.25">
      <c r="A203" s="25"/>
      <c r="G203" s="21" t="s">
        <v>53</v>
      </c>
      <c r="H203" s="39">
        <f>SUM(H187:H202)</f>
        <v>90885.585001034618</v>
      </c>
      <c r="I203" s="2" t="str">
        <f>IF(H203&gt;0.49,"*","")</f>
        <v>*</v>
      </c>
      <c r="J203" s="39">
        <f t="shared" ref="J203:K203" si="62">SUM(J187:J202)</f>
        <v>90885.585001034618</v>
      </c>
      <c r="K203" s="39">
        <f t="shared" si="62"/>
        <v>0</v>
      </c>
      <c r="O203" s="29"/>
      <c r="P203" s="29">
        <f t="shared" si="49"/>
        <v>0</v>
      </c>
    </row>
    <row r="204" spans="1:16" x14ac:dyDescent="0.25">
      <c r="A204" s="25"/>
      <c r="B204" s="2"/>
      <c r="C204" s="2"/>
      <c r="D204" s="2"/>
      <c r="E204" s="2"/>
      <c r="F204" s="2"/>
      <c r="G204" s="16"/>
      <c r="I204" s="2" t="str">
        <f>IF(I203="*","*","")</f>
        <v>*</v>
      </c>
      <c r="J204" s="29"/>
      <c r="K204" s="29"/>
      <c r="O204" s="29">
        <f t="shared" si="48"/>
        <v>0</v>
      </c>
      <c r="P204" s="29">
        <f t="shared" si="49"/>
        <v>0</v>
      </c>
    </row>
    <row r="205" spans="1:16" hidden="1" x14ac:dyDescent="0.25">
      <c r="A205" s="25"/>
      <c r="B205" s="42">
        <v>100</v>
      </c>
      <c r="C205" s="42">
        <v>4000</v>
      </c>
      <c r="D205" s="42">
        <v>7900</v>
      </c>
      <c r="E205" s="42">
        <v>160</v>
      </c>
      <c r="F205" s="42"/>
      <c r="G205" s="42" t="s">
        <v>190</v>
      </c>
      <c r="H205" s="93">
        <f>+Payroll!E125</f>
        <v>0</v>
      </c>
      <c r="I205" s="2" t="str">
        <f t="shared" ref="I205:I221" si="63">IF(H205&gt;0.49,"*","")</f>
        <v/>
      </c>
      <c r="J205" s="93">
        <f t="shared" ref="J205:J221" si="64">IF(B205=J$6,H205,0)</f>
        <v>0</v>
      </c>
      <c r="K205" s="93">
        <f t="shared" ref="K205:K221" si="65">IF(B205=K$6,H205,0)</f>
        <v>0</v>
      </c>
      <c r="O205" s="29">
        <f t="shared" si="48"/>
        <v>0</v>
      </c>
      <c r="P205" s="29">
        <f t="shared" si="49"/>
        <v>0</v>
      </c>
    </row>
    <row r="206" spans="1:16" hidden="1" x14ac:dyDescent="0.25">
      <c r="A206" s="25"/>
      <c r="B206" s="42">
        <v>100</v>
      </c>
      <c r="C206" s="42">
        <v>4000</v>
      </c>
      <c r="D206" s="42">
        <v>7900</v>
      </c>
      <c r="E206" s="42">
        <v>210</v>
      </c>
      <c r="F206" s="42"/>
      <c r="G206" s="42" t="s">
        <v>73</v>
      </c>
      <c r="H206" s="93">
        <f>+Payroll!F125</f>
        <v>0</v>
      </c>
      <c r="I206" s="2" t="str">
        <f t="shared" si="63"/>
        <v/>
      </c>
      <c r="J206" s="93">
        <f t="shared" si="64"/>
        <v>0</v>
      </c>
      <c r="K206" s="93">
        <f t="shared" si="65"/>
        <v>0</v>
      </c>
      <c r="O206" s="29">
        <f t="shared" si="48"/>
        <v>0</v>
      </c>
      <c r="P206" s="29">
        <f t="shared" si="49"/>
        <v>0</v>
      </c>
    </row>
    <row r="207" spans="1:16" hidden="1" x14ac:dyDescent="0.25">
      <c r="A207" s="25"/>
      <c r="B207" s="42">
        <v>100</v>
      </c>
      <c r="C207" s="42">
        <v>4000</v>
      </c>
      <c r="D207" s="42">
        <v>7900</v>
      </c>
      <c r="E207" s="42">
        <v>220</v>
      </c>
      <c r="F207" s="42"/>
      <c r="G207" s="42" t="s">
        <v>74</v>
      </c>
      <c r="H207" s="93">
        <f>+Payroll!H125</f>
        <v>0</v>
      </c>
      <c r="I207" s="2" t="str">
        <f t="shared" si="63"/>
        <v/>
      </c>
      <c r="J207" s="93">
        <f t="shared" si="64"/>
        <v>0</v>
      </c>
      <c r="K207" s="93">
        <f t="shared" si="65"/>
        <v>0</v>
      </c>
      <c r="O207" s="29">
        <f t="shared" si="48"/>
        <v>0</v>
      </c>
      <c r="P207" s="29">
        <f t="shared" si="49"/>
        <v>0</v>
      </c>
    </row>
    <row r="208" spans="1:16" hidden="1" x14ac:dyDescent="0.25">
      <c r="A208" s="25"/>
      <c r="B208" s="42">
        <v>100</v>
      </c>
      <c r="C208" s="42">
        <v>4000</v>
      </c>
      <c r="D208" s="42">
        <v>7900</v>
      </c>
      <c r="E208" s="42">
        <v>230</v>
      </c>
      <c r="F208" s="42"/>
      <c r="G208" s="42" t="s">
        <v>75</v>
      </c>
      <c r="H208" s="93">
        <f>+Payroll!I125</f>
        <v>0</v>
      </c>
      <c r="I208" s="2" t="str">
        <f t="shared" si="63"/>
        <v/>
      </c>
      <c r="J208" s="93">
        <f t="shared" si="64"/>
        <v>0</v>
      </c>
      <c r="K208" s="93">
        <f t="shared" si="65"/>
        <v>0</v>
      </c>
      <c r="O208" s="29">
        <f t="shared" si="48"/>
        <v>0</v>
      </c>
      <c r="P208" s="29">
        <f t="shared" si="49"/>
        <v>0</v>
      </c>
    </row>
    <row r="209" spans="1:16" hidden="1" x14ac:dyDescent="0.25">
      <c r="A209" s="25"/>
      <c r="B209" s="42">
        <v>100</v>
      </c>
      <c r="C209" s="42">
        <v>4000</v>
      </c>
      <c r="D209" s="42">
        <v>7900</v>
      </c>
      <c r="E209" s="42">
        <v>240</v>
      </c>
      <c r="F209" s="42"/>
      <c r="G209" s="42" t="s">
        <v>76</v>
      </c>
      <c r="H209" s="93">
        <f>+Payroll!K125</f>
        <v>0</v>
      </c>
      <c r="I209" s="2" t="str">
        <f t="shared" si="63"/>
        <v/>
      </c>
      <c r="J209" s="93">
        <f t="shared" si="64"/>
        <v>0</v>
      </c>
      <c r="K209" s="93">
        <f t="shared" si="65"/>
        <v>0</v>
      </c>
      <c r="O209" s="29">
        <f t="shared" si="48"/>
        <v>0</v>
      </c>
      <c r="P209" s="29">
        <f t="shared" si="49"/>
        <v>0</v>
      </c>
    </row>
    <row r="210" spans="1:16" hidden="1" x14ac:dyDescent="0.25">
      <c r="A210" s="25"/>
      <c r="B210" s="42">
        <v>100</v>
      </c>
      <c r="C210" s="42">
        <v>4000</v>
      </c>
      <c r="D210" s="42">
        <v>7900</v>
      </c>
      <c r="E210" s="42">
        <v>250</v>
      </c>
      <c r="F210" s="42"/>
      <c r="G210" s="42" t="s">
        <v>77</v>
      </c>
      <c r="H210" s="93">
        <f>+Payroll!L125</f>
        <v>0</v>
      </c>
      <c r="I210" s="2" t="str">
        <f t="shared" si="63"/>
        <v/>
      </c>
      <c r="J210" s="93">
        <f t="shared" si="64"/>
        <v>0</v>
      </c>
      <c r="K210" s="93">
        <f t="shared" si="65"/>
        <v>0</v>
      </c>
      <c r="O210" s="29">
        <f t="shared" si="48"/>
        <v>0</v>
      </c>
      <c r="P210" s="29">
        <f t="shared" si="49"/>
        <v>0</v>
      </c>
    </row>
    <row r="211" spans="1:16" hidden="1" x14ac:dyDescent="0.25">
      <c r="A211" s="25"/>
      <c r="B211" s="42"/>
      <c r="C211" s="42"/>
      <c r="D211" s="42"/>
      <c r="E211" s="42"/>
      <c r="F211" s="42"/>
      <c r="G211" s="42"/>
      <c r="H211" s="93"/>
      <c r="I211" s="2" t="str">
        <f t="shared" si="63"/>
        <v/>
      </c>
      <c r="J211" s="93">
        <f t="shared" si="64"/>
        <v>0</v>
      </c>
      <c r="K211" s="93">
        <f t="shared" si="65"/>
        <v>0</v>
      </c>
      <c r="O211" s="29">
        <f t="shared" si="48"/>
        <v>0</v>
      </c>
      <c r="P211" s="29">
        <f t="shared" si="49"/>
        <v>0</v>
      </c>
    </row>
    <row r="212" spans="1:16" x14ac:dyDescent="0.25">
      <c r="A212" s="25"/>
      <c r="B212" s="42">
        <f>' Expense Input'!B43</f>
        <v>100</v>
      </c>
      <c r="C212" s="42">
        <f>' Expense Input'!C43</f>
        <v>4000</v>
      </c>
      <c r="D212" s="42">
        <f>' Expense Input'!D43</f>
        <v>7900</v>
      </c>
      <c r="E212" s="42">
        <f>' Expense Input'!E43</f>
        <v>320</v>
      </c>
      <c r="F212" s="42"/>
      <c r="G212" s="42" t="str">
        <f>' Expense Input'!F43</f>
        <v>Insurance - Building</v>
      </c>
      <c r="H212" s="93">
        <f>' Expense Input'!M43</f>
        <v>3070.4101000000001</v>
      </c>
      <c r="I212" s="2" t="str">
        <f t="shared" si="63"/>
        <v>*</v>
      </c>
      <c r="J212" s="93">
        <f t="shared" si="64"/>
        <v>3070.4101000000001</v>
      </c>
      <c r="K212" s="93">
        <f t="shared" si="65"/>
        <v>0</v>
      </c>
      <c r="O212" s="29">
        <f t="shared" si="48"/>
        <v>0</v>
      </c>
      <c r="P212" s="29">
        <f t="shared" si="49"/>
        <v>3070.4101000000001</v>
      </c>
    </row>
    <row r="213" spans="1:16" x14ac:dyDescent="0.25">
      <c r="A213" s="25"/>
      <c r="B213" s="42">
        <f>' Expense Input'!B44</f>
        <v>100</v>
      </c>
      <c r="C213" s="42">
        <f>' Expense Input'!C44</f>
        <v>4000</v>
      </c>
      <c r="D213" s="42">
        <f>' Expense Input'!D44</f>
        <v>7900</v>
      </c>
      <c r="E213" s="42">
        <f>' Expense Input'!E44</f>
        <v>360</v>
      </c>
      <c r="F213" s="42"/>
      <c r="G213" s="42" t="str">
        <f>' Expense Input'!F44</f>
        <v>Storage Rental</v>
      </c>
      <c r="H213" s="93">
        <f>' Expense Input'!M44</f>
        <v>1100.9000000000001</v>
      </c>
      <c r="I213" s="2" t="str">
        <f t="shared" si="63"/>
        <v>*</v>
      </c>
      <c r="J213" s="93">
        <f t="shared" si="64"/>
        <v>1100.9000000000001</v>
      </c>
      <c r="K213" s="93">
        <f t="shared" si="65"/>
        <v>0</v>
      </c>
      <c r="O213" s="29">
        <f t="shared" si="48"/>
        <v>0</v>
      </c>
      <c r="P213" s="29">
        <f t="shared" si="49"/>
        <v>1100.9000000000001</v>
      </c>
    </row>
    <row r="214" spans="1:16" x14ac:dyDescent="0.25">
      <c r="A214" s="25"/>
      <c r="B214" s="42">
        <f>' Expense Input'!B45</f>
        <v>100</v>
      </c>
      <c r="C214" s="42">
        <f>' Expense Input'!C45</f>
        <v>4000</v>
      </c>
      <c r="D214" s="42">
        <f>' Expense Input'!D45</f>
        <v>7900</v>
      </c>
      <c r="E214" s="42">
        <f>' Expense Input'!E45</f>
        <v>370</v>
      </c>
      <c r="F214" s="42"/>
      <c r="G214" s="42" t="str">
        <f>' Expense Input'!F45</f>
        <v>Communications</v>
      </c>
      <c r="H214" s="93">
        <f>' Expense Input'!M45</f>
        <v>6068.7062000000005</v>
      </c>
      <c r="I214" s="2" t="str">
        <f t="shared" si="63"/>
        <v>*</v>
      </c>
      <c r="J214" s="93">
        <f t="shared" si="64"/>
        <v>6068.7062000000005</v>
      </c>
      <c r="K214" s="93">
        <f t="shared" si="65"/>
        <v>0</v>
      </c>
      <c r="O214" s="29">
        <f t="shared" si="48"/>
        <v>0</v>
      </c>
      <c r="P214" s="29">
        <f t="shared" si="49"/>
        <v>6068.7062000000005</v>
      </c>
    </row>
    <row r="215" spans="1:16" x14ac:dyDescent="0.25">
      <c r="A215" s="25"/>
      <c r="B215" s="42">
        <f>' Expense Input'!B46</f>
        <v>100</v>
      </c>
      <c r="C215" s="42">
        <f>' Expense Input'!C46</f>
        <v>4000</v>
      </c>
      <c r="D215" s="42">
        <f>' Expense Input'!D46</f>
        <v>7900</v>
      </c>
      <c r="E215" s="42">
        <f>' Expense Input'!E46</f>
        <v>380</v>
      </c>
      <c r="F215" s="42"/>
      <c r="G215" s="42" t="str">
        <f>' Expense Input'!F46</f>
        <v>Water/ Sewer/ Garbage Collection</v>
      </c>
      <c r="H215" s="93">
        <f>' Expense Input'!M46</f>
        <v>2827.0001000000002</v>
      </c>
      <c r="I215" s="2" t="str">
        <f t="shared" si="63"/>
        <v>*</v>
      </c>
      <c r="J215" s="93">
        <f t="shared" si="64"/>
        <v>2827.0001000000002</v>
      </c>
      <c r="K215" s="93">
        <f t="shared" si="65"/>
        <v>0</v>
      </c>
      <c r="O215" s="29">
        <f t="shared" si="48"/>
        <v>0</v>
      </c>
      <c r="P215" s="29">
        <f t="shared" si="49"/>
        <v>2827.0001000000002</v>
      </c>
    </row>
    <row r="216" spans="1:16" x14ac:dyDescent="0.25">
      <c r="A216" s="25"/>
      <c r="B216" s="42">
        <f>' Expense Input'!B47</f>
        <v>100</v>
      </c>
      <c r="C216" s="42">
        <f>' Expense Input'!C47</f>
        <v>4000</v>
      </c>
      <c r="D216" s="42">
        <f>' Expense Input'!D47</f>
        <v>7900</v>
      </c>
      <c r="E216" s="42">
        <f>' Expense Input'!E47</f>
        <v>390</v>
      </c>
      <c r="F216" s="42"/>
      <c r="G216" s="42" t="str">
        <f>' Expense Input'!F47</f>
        <v>Other Contracted Bldg. Services</v>
      </c>
      <c r="H216" s="93">
        <f>' Expense Input'!M47</f>
        <v>978.82129999999995</v>
      </c>
      <c r="I216" s="2" t="str">
        <f t="shared" si="63"/>
        <v>*</v>
      </c>
      <c r="J216" s="93">
        <f t="shared" si="64"/>
        <v>978.82129999999995</v>
      </c>
      <c r="K216" s="93">
        <f t="shared" si="65"/>
        <v>0</v>
      </c>
      <c r="O216" s="29">
        <f t="shared" si="48"/>
        <v>0</v>
      </c>
      <c r="P216" s="29">
        <f t="shared" si="49"/>
        <v>978.82129999999995</v>
      </c>
    </row>
    <row r="217" spans="1:16" ht="13.2" customHeight="1" x14ac:dyDescent="0.25">
      <c r="A217" s="25"/>
      <c r="B217" s="42">
        <f>' Expense Input'!B48</f>
        <v>100</v>
      </c>
      <c r="C217" s="42">
        <f>' Expense Input'!C48</f>
        <v>4000</v>
      </c>
      <c r="D217" s="42">
        <f>' Expense Input'!D48</f>
        <v>7900</v>
      </c>
      <c r="E217" s="42">
        <f>' Expense Input'!E48</f>
        <v>430</v>
      </c>
      <c r="F217" s="42"/>
      <c r="G217" s="42" t="str">
        <f>' Expense Input'!F48</f>
        <v>Electricity</v>
      </c>
      <c r="H217" s="93">
        <f>' Expense Input'!M48</f>
        <v>6350.2942000000003</v>
      </c>
      <c r="I217" s="2" t="str">
        <f t="shared" si="63"/>
        <v>*</v>
      </c>
      <c r="J217" s="93">
        <f t="shared" si="64"/>
        <v>6350.2942000000003</v>
      </c>
      <c r="K217" s="93">
        <f t="shared" si="65"/>
        <v>0</v>
      </c>
      <c r="O217" s="29">
        <f t="shared" si="48"/>
        <v>0</v>
      </c>
      <c r="P217" s="29">
        <f t="shared" si="49"/>
        <v>6350.2942000000003</v>
      </c>
    </row>
    <row r="218" spans="1:16" x14ac:dyDescent="0.25">
      <c r="A218" s="25"/>
      <c r="B218" s="42">
        <f>' Expense Input'!B49</f>
        <v>100</v>
      </c>
      <c r="C218" s="42">
        <f>' Expense Input'!C49</f>
        <v>4000</v>
      </c>
      <c r="D218" s="42">
        <f>' Expense Input'!D49</f>
        <v>7900</v>
      </c>
      <c r="E218" s="42">
        <f>' Expense Input'!E49</f>
        <v>510</v>
      </c>
      <c r="F218" s="42"/>
      <c r="G218" s="42" t="str">
        <f>' Expense Input'!F49</f>
        <v>Custodial Supplies</v>
      </c>
      <c r="H218" s="93">
        <f>' Expense Input'!M49</f>
        <v>2780.6310000000003</v>
      </c>
      <c r="I218" s="2" t="str">
        <f t="shared" si="63"/>
        <v>*</v>
      </c>
      <c r="J218" s="93">
        <f t="shared" si="64"/>
        <v>2780.6310000000003</v>
      </c>
      <c r="K218" s="93">
        <f t="shared" si="65"/>
        <v>0</v>
      </c>
      <c r="O218" s="29">
        <f t="shared" si="48"/>
        <v>0</v>
      </c>
      <c r="P218" s="29">
        <f t="shared" si="49"/>
        <v>2780.6310000000003</v>
      </c>
    </row>
    <row r="219" spans="1:16" hidden="1" x14ac:dyDescent="0.25">
      <c r="A219" s="25"/>
      <c r="B219" s="42">
        <f>' Expense Input'!B50</f>
        <v>100</v>
      </c>
      <c r="C219" s="42">
        <f>' Expense Input'!C50</f>
        <v>4000</v>
      </c>
      <c r="D219" s="42">
        <f>' Expense Input'!D50</f>
        <v>7900</v>
      </c>
      <c r="E219" s="42">
        <f>' Expense Input'!E50</f>
        <v>640</v>
      </c>
      <c r="F219" s="42"/>
      <c r="G219" s="42" t="str">
        <f>' Expense Input'!F50</f>
        <v>Furniture and Equipment</v>
      </c>
      <c r="H219" s="93">
        <f>' Expense Input'!M50</f>
        <v>0</v>
      </c>
      <c r="I219" s="2" t="str">
        <f t="shared" ref="I219" si="66">IF(H219&gt;0.49,"*","")</f>
        <v/>
      </c>
      <c r="J219" s="93">
        <f t="shared" si="64"/>
        <v>0</v>
      </c>
      <c r="K219" s="93">
        <f t="shared" si="65"/>
        <v>0</v>
      </c>
      <c r="O219" s="29">
        <f t="shared" si="48"/>
        <v>0</v>
      </c>
      <c r="P219" s="29">
        <f t="shared" si="49"/>
        <v>0</v>
      </c>
    </row>
    <row r="220" spans="1:16" hidden="1" x14ac:dyDescent="0.25">
      <c r="A220" s="25"/>
      <c r="B220" s="42"/>
      <c r="C220" s="42"/>
      <c r="D220" s="42"/>
      <c r="E220" s="42"/>
      <c r="F220" s="42"/>
      <c r="G220" s="42"/>
      <c r="H220" s="93"/>
      <c r="I220" s="2" t="str">
        <f t="shared" ref="I220" si="67">IF(H220&gt;0.49,"*","")</f>
        <v/>
      </c>
      <c r="J220" s="93">
        <f t="shared" si="64"/>
        <v>0</v>
      </c>
      <c r="K220" s="93">
        <f t="shared" si="65"/>
        <v>0</v>
      </c>
      <c r="O220" s="29">
        <f t="shared" si="48"/>
        <v>0</v>
      </c>
      <c r="P220" s="29">
        <f t="shared" si="49"/>
        <v>0</v>
      </c>
    </row>
    <row r="221" spans="1:16" hidden="1" x14ac:dyDescent="0.25">
      <c r="A221" s="25"/>
      <c r="B221" s="42"/>
      <c r="C221" s="42"/>
      <c r="D221" s="42"/>
      <c r="E221" s="42"/>
      <c r="F221" s="42"/>
      <c r="G221" s="42"/>
      <c r="H221" s="93"/>
      <c r="I221" s="2" t="str">
        <f t="shared" si="63"/>
        <v/>
      </c>
      <c r="J221" s="93">
        <f t="shared" si="64"/>
        <v>0</v>
      </c>
      <c r="K221" s="93">
        <f t="shared" si="65"/>
        <v>0</v>
      </c>
      <c r="O221" s="29">
        <f t="shared" si="48"/>
        <v>0</v>
      </c>
      <c r="P221" s="29">
        <f t="shared" si="49"/>
        <v>0</v>
      </c>
    </row>
    <row r="222" spans="1:16" x14ac:dyDescent="0.25">
      <c r="A222" s="25"/>
      <c r="B222" s="42"/>
      <c r="C222" s="42"/>
      <c r="D222" s="42"/>
      <c r="E222" s="42"/>
      <c r="F222" s="42"/>
      <c r="G222" s="42"/>
      <c r="H222" s="43"/>
      <c r="I222" s="2" t="str">
        <f>IF(I223="*","*","")</f>
        <v>*</v>
      </c>
      <c r="J222" s="43"/>
      <c r="K222" s="43"/>
      <c r="O222" s="29">
        <f t="shared" si="48"/>
        <v>0</v>
      </c>
      <c r="P222" s="29">
        <f t="shared" si="49"/>
        <v>0</v>
      </c>
    </row>
    <row r="223" spans="1:16" x14ac:dyDescent="0.25">
      <c r="A223" s="25"/>
      <c r="G223" s="21" t="s">
        <v>54</v>
      </c>
      <c r="H223" s="39">
        <f>SUM(H205:H222)</f>
        <v>23176.762900000002</v>
      </c>
      <c r="I223" s="2" t="str">
        <f>IF(H223&gt;0.49,"*","")</f>
        <v>*</v>
      </c>
      <c r="J223" s="39">
        <f t="shared" ref="J223:K223" si="68">SUM(J205:J222)</f>
        <v>23176.762900000002</v>
      </c>
      <c r="K223" s="39">
        <f t="shared" si="68"/>
        <v>0</v>
      </c>
      <c r="O223" s="29"/>
      <c r="P223" s="29">
        <f t="shared" si="49"/>
        <v>0</v>
      </c>
    </row>
    <row r="224" spans="1:16" x14ac:dyDescent="0.25">
      <c r="A224" s="25"/>
      <c r="G224" s="21"/>
      <c r="H224" s="41"/>
      <c r="I224" s="2" t="str">
        <f>IF(I223="*","*","")</f>
        <v>*</v>
      </c>
      <c r="J224" s="41"/>
      <c r="K224" s="41"/>
      <c r="O224" s="29">
        <f t="shared" si="48"/>
        <v>0</v>
      </c>
      <c r="P224" s="29">
        <f t="shared" si="49"/>
        <v>0</v>
      </c>
    </row>
    <row r="225" spans="1:16" x14ac:dyDescent="0.25">
      <c r="A225" s="25"/>
      <c r="B225" s="42">
        <f>' Expense Input'!B51</f>
        <v>100</v>
      </c>
      <c r="C225" s="42">
        <f>' Expense Input'!C51</f>
        <v>4000</v>
      </c>
      <c r="D225" s="42">
        <f>' Expense Input'!D51</f>
        <v>8100</v>
      </c>
      <c r="E225" s="42">
        <f>' Expense Input'!E51</f>
        <v>350</v>
      </c>
      <c r="F225" s="42"/>
      <c r="G225" s="42" t="str">
        <f>' Expense Input'!F51</f>
        <v>Repairs and Maintenance</v>
      </c>
      <c r="H225" s="43">
        <f>' Expense Input'!M51</f>
        <v>9655.8221999999987</v>
      </c>
      <c r="I225" s="2" t="str">
        <f>IF(H225&gt;0.49,"*","")</f>
        <v>*</v>
      </c>
      <c r="J225" s="93">
        <f>IF(B225=J$6,H225,0)</f>
        <v>9655.8221999999987</v>
      </c>
      <c r="K225" s="93">
        <f>IF(B225=K$6,H225,0)</f>
        <v>0</v>
      </c>
      <c r="O225" s="29">
        <f t="shared" si="48"/>
        <v>0</v>
      </c>
      <c r="P225" s="29">
        <f t="shared" si="49"/>
        <v>9655.8221999999987</v>
      </c>
    </row>
    <row r="226" spans="1:16" hidden="1" x14ac:dyDescent="0.25">
      <c r="A226" s="25"/>
      <c r="B226" s="42"/>
      <c r="C226" s="42"/>
      <c r="D226" s="42"/>
      <c r="E226" s="42"/>
      <c r="F226" s="42"/>
      <c r="G226" s="42"/>
      <c r="H226" s="43"/>
      <c r="I226" s="2" t="str">
        <f>IF(H226&gt;0.49,"*","")</f>
        <v/>
      </c>
      <c r="J226" s="93">
        <f>IF(B226=J$6,H226,0)</f>
        <v>0</v>
      </c>
      <c r="K226" s="93">
        <f>IF(B226=K$6,H226,0)</f>
        <v>0</v>
      </c>
      <c r="O226" s="29">
        <f t="shared" si="48"/>
        <v>0</v>
      </c>
      <c r="P226" s="29">
        <f t="shared" si="49"/>
        <v>0</v>
      </c>
    </row>
    <row r="227" spans="1:16" x14ac:dyDescent="0.25">
      <c r="A227" s="25"/>
      <c r="B227" s="42"/>
      <c r="C227" s="42"/>
      <c r="D227" s="42"/>
      <c r="E227" s="42"/>
      <c r="F227" s="42"/>
      <c r="G227" s="42"/>
      <c r="I227" s="2" t="str">
        <f>IF(I228="*","*","")</f>
        <v>*</v>
      </c>
      <c r="J227" s="29"/>
      <c r="K227" s="29"/>
      <c r="O227" s="29">
        <f t="shared" si="48"/>
        <v>0</v>
      </c>
      <c r="P227" s="29">
        <f t="shared" si="49"/>
        <v>0</v>
      </c>
    </row>
    <row r="228" spans="1:16" x14ac:dyDescent="0.25">
      <c r="A228" s="25"/>
      <c r="G228" s="21" t="s">
        <v>55</v>
      </c>
      <c r="H228" s="39">
        <f>SUM(H225:H227)</f>
        <v>9655.8221999999987</v>
      </c>
      <c r="I228" s="2" t="str">
        <f>IF(H228&gt;0.49,"*","")</f>
        <v>*</v>
      </c>
      <c r="J228" s="39">
        <f t="shared" ref="J228:K228" si="69">SUM(J225:J227)</f>
        <v>9655.8221999999987</v>
      </c>
      <c r="K228" s="39">
        <f t="shared" si="69"/>
        <v>0</v>
      </c>
      <c r="O228" s="29"/>
      <c r="P228" s="29">
        <f t="shared" si="49"/>
        <v>0</v>
      </c>
    </row>
    <row r="229" spans="1:16" x14ac:dyDescent="0.25">
      <c r="A229" s="25"/>
      <c r="B229" s="42"/>
      <c r="C229" s="42"/>
      <c r="D229" s="42"/>
      <c r="E229" s="42"/>
      <c r="F229" s="42"/>
      <c r="G229" s="42"/>
      <c r="H229" s="43"/>
      <c r="I229" s="2" t="str">
        <f>IF(I228="*","*","")</f>
        <v>*</v>
      </c>
      <c r="J229" s="43"/>
      <c r="K229" s="43"/>
      <c r="O229" s="29">
        <f t="shared" ref="O229:O249" si="70">IF(E229&lt;300,H229,0)</f>
        <v>0</v>
      </c>
      <c r="P229" s="29">
        <f t="shared" ref="P229:P249" si="71">IF(E229&gt;299,H229,0)</f>
        <v>0</v>
      </c>
    </row>
    <row r="230" spans="1:16" hidden="1" x14ac:dyDescent="0.25">
      <c r="A230" s="25"/>
      <c r="B230" s="42">
        <v>891</v>
      </c>
      <c r="C230" s="42">
        <v>4000</v>
      </c>
      <c r="D230" s="42">
        <v>9100</v>
      </c>
      <c r="E230" s="42">
        <v>150</v>
      </c>
      <c r="F230" s="42"/>
      <c r="G230" s="42" t="s">
        <v>193</v>
      </c>
      <c r="H230" s="43">
        <f>+Payroll!E136</f>
        <v>0</v>
      </c>
      <c r="I230" s="2" t="str">
        <f t="shared" ref="I230:I238" si="72">IF(H230&gt;0.49,"*","")</f>
        <v/>
      </c>
      <c r="J230" s="93">
        <f t="shared" ref="J230:J238" si="73">IF(B230=J$6,H230,0)</f>
        <v>0</v>
      </c>
      <c r="K230" s="93">
        <f t="shared" ref="K230:K238" si="74">IF(B230=K$6,H230,0)</f>
        <v>0</v>
      </c>
      <c r="O230" s="29">
        <f t="shared" si="70"/>
        <v>0</v>
      </c>
      <c r="P230" s="29">
        <f t="shared" si="71"/>
        <v>0</v>
      </c>
    </row>
    <row r="231" spans="1:16" hidden="1" x14ac:dyDescent="0.25">
      <c r="A231" s="25"/>
      <c r="B231" s="42">
        <v>891</v>
      </c>
      <c r="C231" s="42">
        <v>4000</v>
      </c>
      <c r="D231" s="42">
        <v>9100</v>
      </c>
      <c r="E231" s="42">
        <v>210</v>
      </c>
      <c r="F231" s="42"/>
      <c r="G231" s="42" t="s">
        <v>73</v>
      </c>
      <c r="H231" s="43">
        <f>+Payroll!F136</f>
        <v>0</v>
      </c>
      <c r="I231" s="2" t="str">
        <f t="shared" si="72"/>
        <v/>
      </c>
      <c r="J231" s="93">
        <f t="shared" si="73"/>
        <v>0</v>
      </c>
      <c r="K231" s="93">
        <f t="shared" si="74"/>
        <v>0</v>
      </c>
      <c r="O231" s="29">
        <f t="shared" si="70"/>
        <v>0</v>
      </c>
      <c r="P231" s="29">
        <f t="shared" si="71"/>
        <v>0</v>
      </c>
    </row>
    <row r="232" spans="1:16" hidden="1" x14ac:dyDescent="0.25">
      <c r="A232" s="25"/>
      <c r="B232" s="42">
        <v>891</v>
      </c>
      <c r="C232" s="42">
        <v>4000</v>
      </c>
      <c r="D232" s="42">
        <v>9100</v>
      </c>
      <c r="E232" s="42">
        <v>220</v>
      </c>
      <c r="F232" s="42"/>
      <c r="G232" s="42" t="s">
        <v>74</v>
      </c>
      <c r="H232" s="43">
        <f>+Payroll!H136</f>
        <v>0</v>
      </c>
      <c r="I232" s="2" t="str">
        <f t="shared" si="72"/>
        <v/>
      </c>
      <c r="J232" s="93">
        <f t="shared" si="73"/>
        <v>0</v>
      </c>
      <c r="K232" s="93">
        <f t="shared" si="74"/>
        <v>0</v>
      </c>
      <c r="O232" s="29">
        <f t="shared" si="70"/>
        <v>0</v>
      </c>
      <c r="P232" s="29">
        <f t="shared" si="71"/>
        <v>0</v>
      </c>
    </row>
    <row r="233" spans="1:16" hidden="1" x14ac:dyDescent="0.25">
      <c r="A233" s="25"/>
      <c r="B233" s="42">
        <v>891</v>
      </c>
      <c r="C233" s="42">
        <v>4000</v>
      </c>
      <c r="D233" s="42">
        <v>9100</v>
      </c>
      <c r="E233" s="42">
        <v>230</v>
      </c>
      <c r="F233" s="42"/>
      <c r="G233" s="42" t="s">
        <v>75</v>
      </c>
      <c r="H233" s="43">
        <f>+Payroll!I136</f>
        <v>0</v>
      </c>
      <c r="I233" s="2" t="str">
        <f t="shared" si="72"/>
        <v/>
      </c>
      <c r="J233" s="93">
        <f t="shared" si="73"/>
        <v>0</v>
      </c>
      <c r="K233" s="93">
        <f t="shared" si="74"/>
        <v>0</v>
      </c>
      <c r="O233" s="29">
        <f t="shared" si="70"/>
        <v>0</v>
      </c>
      <c r="P233" s="29">
        <f t="shared" si="71"/>
        <v>0</v>
      </c>
    </row>
    <row r="234" spans="1:16" hidden="1" x14ac:dyDescent="0.25">
      <c r="A234" s="25"/>
      <c r="B234" s="42">
        <v>891</v>
      </c>
      <c r="C234" s="42">
        <v>4000</v>
      </c>
      <c r="D234" s="42">
        <v>9100</v>
      </c>
      <c r="E234" s="42">
        <v>240</v>
      </c>
      <c r="F234" s="42"/>
      <c r="G234" s="42" t="s">
        <v>76</v>
      </c>
      <c r="H234" s="43">
        <f>+Payroll!K136</f>
        <v>0</v>
      </c>
      <c r="I234" s="2" t="str">
        <f t="shared" si="72"/>
        <v/>
      </c>
      <c r="J234" s="93">
        <f t="shared" si="73"/>
        <v>0</v>
      </c>
      <c r="K234" s="93">
        <f t="shared" si="74"/>
        <v>0</v>
      </c>
      <c r="O234" s="29">
        <f t="shared" si="70"/>
        <v>0</v>
      </c>
      <c r="P234" s="29">
        <f t="shared" si="71"/>
        <v>0</v>
      </c>
    </row>
    <row r="235" spans="1:16" hidden="1" x14ac:dyDescent="0.25">
      <c r="A235" s="25"/>
      <c r="B235" s="42">
        <v>891</v>
      </c>
      <c r="C235" s="42">
        <v>4000</v>
      </c>
      <c r="D235" s="42">
        <v>9100</v>
      </c>
      <c r="E235" s="42">
        <v>250</v>
      </c>
      <c r="F235" s="42"/>
      <c r="G235" s="42" t="s">
        <v>77</v>
      </c>
      <c r="H235" s="43">
        <f>+Payroll!L136</f>
        <v>0</v>
      </c>
      <c r="I235" s="2" t="str">
        <f t="shared" si="72"/>
        <v/>
      </c>
      <c r="J235" s="93">
        <f t="shared" si="73"/>
        <v>0</v>
      </c>
      <c r="K235" s="93">
        <f t="shared" si="74"/>
        <v>0</v>
      </c>
      <c r="O235" s="29">
        <f t="shared" si="70"/>
        <v>0</v>
      </c>
      <c r="P235" s="29">
        <f t="shared" si="71"/>
        <v>0</v>
      </c>
    </row>
    <row r="236" spans="1:16" x14ac:dyDescent="0.25">
      <c r="A236" s="25"/>
      <c r="B236" s="42">
        <f>' Expense Input'!B52</f>
        <v>100</v>
      </c>
      <c r="C236" s="42">
        <f>' Expense Input'!C52</f>
        <v>4000</v>
      </c>
      <c r="D236" s="42">
        <f>' Expense Input'!D52</f>
        <v>9100</v>
      </c>
      <c r="E236" s="42">
        <f>' Expense Input'!E52</f>
        <v>705</v>
      </c>
      <c r="F236" s="42"/>
      <c r="G236" s="42" t="str">
        <f>' Expense Input'!F52</f>
        <v>Donations</v>
      </c>
      <c r="H236" s="43">
        <f>' Expense Input'!M52</f>
        <v>4437.9197999999997</v>
      </c>
      <c r="I236" s="2" t="str">
        <f t="shared" si="72"/>
        <v>*</v>
      </c>
      <c r="J236" s="93">
        <f t="shared" si="73"/>
        <v>4437.9197999999997</v>
      </c>
      <c r="K236" s="93">
        <f t="shared" si="74"/>
        <v>0</v>
      </c>
      <c r="O236" s="29">
        <f t="shared" si="70"/>
        <v>0</v>
      </c>
      <c r="P236" s="29">
        <f t="shared" si="71"/>
        <v>4437.9197999999997</v>
      </c>
    </row>
    <row r="237" spans="1:16" hidden="1" x14ac:dyDescent="0.25">
      <c r="A237" s="25"/>
      <c r="B237" s="42"/>
      <c r="C237" s="42"/>
      <c r="D237" s="42"/>
      <c r="E237" s="42"/>
      <c r="F237" s="42"/>
      <c r="G237" s="42"/>
      <c r="H237" s="43"/>
      <c r="I237" s="2" t="str">
        <f t="shared" si="72"/>
        <v/>
      </c>
      <c r="J237" s="93">
        <f t="shared" si="73"/>
        <v>0</v>
      </c>
      <c r="K237" s="93">
        <f t="shared" si="74"/>
        <v>0</v>
      </c>
      <c r="O237" s="29">
        <f t="shared" si="70"/>
        <v>0</v>
      </c>
      <c r="P237" s="29">
        <f t="shared" si="71"/>
        <v>0</v>
      </c>
    </row>
    <row r="238" spans="1:16" hidden="1" x14ac:dyDescent="0.25">
      <c r="A238" s="25"/>
      <c r="B238" s="42"/>
      <c r="C238" s="42"/>
      <c r="D238" s="42"/>
      <c r="E238" s="42"/>
      <c r="F238" s="42"/>
      <c r="G238" s="42"/>
      <c r="H238" s="43"/>
      <c r="I238" s="2" t="str">
        <f t="shared" si="72"/>
        <v/>
      </c>
      <c r="J238" s="93">
        <f t="shared" si="73"/>
        <v>0</v>
      </c>
      <c r="K238" s="93">
        <f t="shared" si="74"/>
        <v>0</v>
      </c>
      <c r="O238" s="29">
        <f t="shared" si="70"/>
        <v>0</v>
      </c>
      <c r="P238" s="29">
        <f t="shared" si="71"/>
        <v>0</v>
      </c>
    </row>
    <row r="239" spans="1:16" x14ac:dyDescent="0.25">
      <c r="A239" s="25"/>
      <c r="B239" s="42"/>
      <c r="C239" s="42"/>
      <c r="D239" s="42"/>
      <c r="E239" s="42"/>
      <c r="F239" s="42"/>
      <c r="G239" s="42"/>
      <c r="H239" s="43"/>
      <c r="I239" s="2" t="str">
        <f>IF(I240="*","*","")</f>
        <v>*</v>
      </c>
      <c r="J239" s="43"/>
      <c r="K239" s="43"/>
      <c r="O239" s="29">
        <f t="shared" si="70"/>
        <v>0</v>
      </c>
      <c r="P239" s="29">
        <f t="shared" si="71"/>
        <v>0</v>
      </c>
    </row>
    <row r="240" spans="1:16" x14ac:dyDescent="0.25">
      <c r="A240" s="25"/>
      <c r="B240" s="42"/>
      <c r="C240" s="42"/>
      <c r="D240" s="42"/>
      <c r="E240" s="42"/>
      <c r="F240" s="42"/>
      <c r="G240" s="21" t="s">
        <v>192</v>
      </c>
      <c r="H240" s="39">
        <f>SUM(H230:H239)</f>
        <v>4437.9197999999997</v>
      </c>
      <c r="I240" s="2" t="str">
        <f>IF(H240&gt;0.49,"*","")</f>
        <v>*</v>
      </c>
      <c r="J240" s="39">
        <f t="shared" ref="J240:K240" si="75">SUM(J230:J239)</f>
        <v>4437.9197999999997</v>
      </c>
      <c r="K240" s="39">
        <f t="shared" si="75"/>
        <v>0</v>
      </c>
      <c r="O240" s="29"/>
      <c r="P240" s="29">
        <f t="shared" si="71"/>
        <v>0</v>
      </c>
    </row>
    <row r="241" spans="1:17" x14ac:dyDescent="0.25">
      <c r="A241" s="25"/>
      <c r="B241" s="42"/>
      <c r="C241" s="42"/>
      <c r="D241" s="42"/>
      <c r="E241" s="42"/>
      <c r="F241" s="42"/>
      <c r="G241" s="42"/>
      <c r="H241" s="43"/>
      <c r="I241" s="2" t="str">
        <f>IF(I240="*","*","")</f>
        <v>*</v>
      </c>
      <c r="J241" s="43"/>
      <c r="K241" s="43"/>
      <c r="O241" s="29">
        <f t="shared" si="70"/>
        <v>0</v>
      </c>
      <c r="P241" s="29">
        <f t="shared" si="71"/>
        <v>0</v>
      </c>
    </row>
    <row r="242" spans="1:17" hidden="1" x14ac:dyDescent="0.25">
      <c r="A242" s="25"/>
      <c r="B242" s="42"/>
      <c r="C242" s="42"/>
      <c r="D242" s="42"/>
      <c r="E242" s="42"/>
      <c r="F242" s="42"/>
      <c r="G242" s="42"/>
      <c r="H242" s="43"/>
      <c r="I242" s="2" t="str">
        <f>IF(H242&gt;0.49,"*","")</f>
        <v/>
      </c>
      <c r="J242" s="93">
        <f>IF(B242=J$6,H242,0)</f>
        <v>0</v>
      </c>
      <c r="K242" s="93">
        <f>IF(B242=K$6,H242,0)</f>
        <v>0</v>
      </c>
      <c r="O242" s="29">
        <f t="shared" si="70"/>
        <v>0</v>
      </c>
      <c r="P242" s="29">
        <f t="shared" si="71"/>
        <v>0</v>
      </c>
    </row>
    <row r="243" spans="1:17" hidden="1" x14ac:dyDescent="0.25">
      <c r="A243" s="25"/>
      <c r="B243" s="42"/>
      <c r="C243" s="42"/>
      <c r="D243" s="42"/>
      <c r="E243" s="42"/>
      <c r="F243" s="42"/>
      <c r="G243" s="42"/>
      <c r="H243" s="43"/>
      <c r="I243" s="2" t="str">
        <f>IF(H243&gt;0.49,"*","")</f>
        <v/>
      </c>
      <c r="J243" s="93">
        <f>IF(B243=J$6,H243,0)</f>
        <v>0</v>
      </c>
      <c r="K243" s="93">
        <f>IF(B243=K$6,H243,0)</f>
        <v>0</v>
      </c>
      <c r="O243" s="29">
        <f t="shared" si="70"/>
        <v>0</v>
      </c>
      <c r="P243" s="29">
        <f t="shared" si="71"/>
        <v>0</v>
      </c>
    </row>
    <row r="244" spans="1:17" hidden="1" x14ac:dyDescent="0.25">
      <c r="A244" s="25"/>
      <c r="B244" s="42"/>
      <c r="C244" s="42"/>
      <c r="D244" s="42"/>
      <c r="E244" s="42"/>
      <c r="F244" s="42"/>
      <c r="G244" s="42"/>
      <c r="H244" s="43"/>
      <c r="I244" s="2" t="str">
        <f>IF(H244&gt;0.49,"*","")</f>
        <v/>
      </c>
      <c r="J244" s="93">
        <f>IF(B244=J$6,H244,0)</f>
        <v>0</v>
      </c>
      <c r="K244" s="93">
        <f>IF(B244=K$6,H244,0)</f>
        <v>0</v>
      </c>
      <c r="O244" s="29">
        <f t="shared" si="70"/>
        <v>0</v>
      </c>
      <c r="P244" s="29">
        <f t="shared" si="71"/>
        <v>0</v>
      </c>
    </row>
    <row r="245" spans="1:17" hidden="1" x14ac:dyDescent="0.25">
      <c r="A245" s="25"/>
      <c r="B245" s="42"/>
      <c r="C245" s="42"/>
      <c r="D245" s="42"/>
      <c r="E245" s="42"/>
      <c r="F245" s="42"/>
      <c r="G245" s="42"/>
      <c r="H245" s="43"/>
      <c r="I245" s="2" t="str">
        <f>IF(I246="*","*","")</f>
        <v/>
      </c>
      <c r="J245" s="43"/>
      <c r="K245" s="43"/>
      <c r="O245" s="29">
        <f t="shared" si="70"/>
        <v>0</v>
      </c>
      <c r="P245" s="29">
        <f t="shared" si="71"/>
        <v>0</v>
      </c>
    </row>
    <row r="246" spans="1:17" hidden="1" x14ac:dyDescent="0.25">
      <c r="A246" s="25"/>
      <c r="B246" s="42"/>
      <c r="C246" s="42"/>
      <c r="D246" s="42"/>
      <c r="E246" s="42"/>
      <c r="F246" s="42"/>
      <c r="G246" s="21" t="s">
        <v>202</v>
      </c>
      <c r="H246" s="39">
        <f>SUM(H242:H245)</f>
        <v>0</v>
      </c>
      <c r="I246" s="2" t="str">
        <f>IF(H246&gt;0.49,"*","")</f>
        <v/>
      </c>
      <c r="J246" s="39">
        <f t="shared" ref="J246:K246" si="76">SUM(J242:J245)</f>
        <v>0</v>
      </c>
      <c r="K246" s="39">
        <f t="shared" si="76"/>
        <v>0</v>
      </c>
      <c r="O246" s="29">
        <f t="shared" si="70"/>
        <v>0</v>
      </c>
      <c r="P246" s="29">
        <f t="shared" si="71"/>
        <v>0</v>
      </c>
    </row>
    <row r="247" spans="1:17" hidden="1" x14ac:dyDescent="0.25">
      <c r="A247" s="25"/>
      <c r="B247" s="42"/>
      <c r="C247" s="42"/>
      <c r="D247" s="42"/>
      <c r="E247" s="42"/>
      <c r="F247" s="42"/>
      <c r="G247" s="42"/>
      <c r="H247" s="43"/>
      <c r="I247" s="2" t="str">
        <f>IF(I246="*","*","")</f>
        <v/>
      </c>
      <c r="J247" s="43"/>
      <c r="K247" s="43"/>
      <c r="O247" s="29">
        <f t="shared" si="70"/>
        <v>0</v>
      </c>
      <c r="P247" s="29">
        <f t="shared" si="71"/>
        <v>0</v>
      </c>
    </row>
    <row r="248" spans="1:17" hidden="1" x14ac:dyDescent="0.25">
      <c r="A248" s="25"/>
      <c r="B248" s="42"/>
      <c r="C248" s="42"/>
      <c r="D248" s="42"/>
      <c r="E248" s="42"/>
      <c r="F248" s="42"/>
      <c r="G248" s="42"/>
      <c r="H248" s="43"/>
      <c r="I248" s="2" t="str">
        <f>IF(H248&gt;0.49,"*","")</f>
        <v/>
      </c>
      <c r="J248" s="43"/>
      <c r="K248" s="43"/>
      <c r="O248" s="29">
        <f t="shared" si="70"/>
        <v>0</v>
      </c>
      <c r="P248" s="29">
        <f t="shared" si="71"/>
        <v>0</v>
      </c>
    </row>
    <row r="249" spans="1:17" x14ac:dyDescent="0.25">
      <c r="A249" s="25"/>
      <c r="I249" s="2" t="str">
        <f>IF(I250="*","*","")</f>
        <v>*</v>
      </c>
      <c r="J249" s="29"/>
      <c r="K249" s="29"/>
      <c r="O249" s="29">
        <f t="shared" si="70"/>
        <v>0</v>
      </c>
      <c r="P249" s="29">
        <f t="shared" si="71"/>
        <v>0</v>
      </c>
    </row>
    <row r="250" spans="1:17" x14ac:dyDescent="0.25">
      <c r="A250" s="25"/>
      <c r="G250" s="14" t="s">
        <v>56</v>
      </c>
      <c r="H250" s="125">
        <f>SUM(H246,H240,H228,H223,H203,H185,H171,H164,H157,H132,H110,H97,H92,H88,H79,H69,H58)</f>
        <v>867487.22210070887</v>
      </c>
      <c r="I250" s="2" t="str">
        <f>IF(H250&gt;0.49,"*","")</f>
        <v>*</v>
      </c>
      <c r="J250" s="125">
        <f t="shared" ref="J250:K250" si="77">SUM(J246,J240,J228,J223,J203,J185,J171,J164,J157,J132,J110,J97,J92,J88,J79,J69,J58)</f>
        <v>867487.22210070887</v>
      </c>
      <c r="K250" s="125">
        <f t="shared" si="77"/>
        <v>0</v>
      </c>
      <c r="M250" s="12"/>
      <c r="O250" s="29">
        <f>SUM(O36:O249)</f>
        <v>382696.13051200006</v>
      </c>
      <c r="P250" s="29">
        <f>SUM(P36:P249)</f>
        <v>484791.09158870886</v>
      </c>
    </row>
    <row r="251" spans="1:17" x14ac:dyDescent="0.25">
      <c r="A251" s="25"/>
      <c r="B251" s="14"/>
      <c r="C251" s="14"/>
      <c r="D251" s="14"/>
      <c r="E251" s="14"/>
      <c r="F251" s="14"/>
      <c r="I251" s="2" t="str">
        <f>IF(I250="*","*","")</f>
        <v>*</v>
      </c>
      <c r="J251" s="29"/>
      <c r="K251" s="29"/>
      <c r="O251" s="23">
        <f>Payroll!M137</f>
        <v>382696.130512</v>
      </c>
      <c r="P251" s="12">
        <f>' Expense Input'!M86</f>
        <v>484791.09158870886</v>
      </c>
      <c r="Q251" s="12">
        <f>H250-O251-P251</f>
        <v>0</v>
      </c>
    </row>
    <row r="252" spans="1:17" ht="18.75" customHeight="1" x14ac:dyDescent="0.25">
      <c r="A252" s="25"/>
      <c r="B252" s="14"/>
      <c r="C252" s="14"/>
      <c r="D252" s="171" t="str">
        <f>IF(H252&lt;0,"Excess (Deficit) of Revenues Over Expenditures", "Excess of Revenues Over Expenditures")</f>
        <v>Excess of Revenues Over Expenditures</v>
      </c>
      <c r="E252" s="171"/>
      <c r="F252" s="171"/>
      <c r="G252" s="171"/>
      <c r="H252" s="122">
        <f>+H32-H250</f>
        <v>3997.4963374378858</v>
      </c>
      <c r="I252" s="2" t="s">
        <v>189</v>
      </c>
      <c r="J252" s="122">
        <f t="shared" ref="J252:K252" si="78">+J32-J250</f>
        <v>3997.4963374378858</v>
      </c>
      <c r="K252" s="122">
        <f t="shared" si="78"/>
        <v>0</v>
      </c>
      <c r="O252" s="12">
        <f>O250-O251</f>
        <v>0</v>
      </c>
      <c r="P252" s="12">
        <f>P250-P251</f>
        <v>0</v>
      </c>
    </row>
    <row r="253" spans="1:17" x14ac:dyDescent="0.25">
      <c r="I253" s="2" t="s">
        <v>189</v>
      </c>
      <c r="J253" s="29"/>
      <c r="K253" s="29"/>
    </row>
    <row r="254" spans="1:17" ht="18.75" customHeight="1" x14ac:dyDescent="0.25">
      <c r="A254" s="25"/>
      <c r="B254" s="2"/>
      <c r="C254" s="2"/>
      <c r="D254" s="172" t="s">
        <v>273</v>
      </c>
      <c r="E254" s="172"/>
      <c r="F254" s="172"/>
      <c r="G254" s="172"/>
      <c r="H254" s="124">
        <v>451897.01</v>
      </c>
      <c r="I254" s="2" t="s">
        <v>189</v>
      </c>
      <c r="J254" s="124">
        <f>+H254</f>
        <v>451897.01</v>
      </c>
      <c r="K254" s="124">
        <v>0</v>
      </c>
    </row>
    <row r="255" spans="1:17" x14ac:dyDescent="0.25">
      <c r="I255" s="2" t="s">
        <v>189</v>
      </c>
      <c r="J255" s="29"/>
      <c r="K255" s="29"/>
    </row>
    <row r="256" spans="1:17" ht="18.75" customHeight="1" thickBot="1" x14ac:dyDescent="0.3">
      <c r="A256" s="25"/>
      <c r="B256" s="14"/>
      <c r="C256" s="14"/>
      <c r="D256" s="14" t="s">
        <v>274</v>
      </c>
      <c r="E256" s="14"/>
      <c r="F256" s="14"/>
      <c r="G256" s="14"/>
      <c r="H256" s="86">
        <f>+H252+H254</f>
        <v>455894.5063374379</v>
      </c>
      <c r="I256" s="2" t="s">
        <v>189</v>
      </c>
      <c r="J256" s="86">
        <f t="shared" ref="J256:K256" si="79">+J252+J254</f>
        <v>455894.5063374379</v>
      </c>
      <c r="K256" s="86">
        <f t="shared" si="79"/>
        <v>0</v>
      </c>
      <c r="Q256" s="12">
        <f>-H252-' Expense Input'!M86+'Rev Input'!M33-Payroll!M137</f>
        <v>0</v>
      </c>
    </row>
    <row r="257" spans="13:17" ht="13.8" thickTop="1" x14ac:dyDescent="0.25">
      <c r="Q257" s="12">
        <f>+H250-' Expense Input'!M86-Payroll!M137</f>
        <v>0</v>
      </c>
    </row>
    <row r="259" spans="13:17" x14ac:dyDescent="0.25">
      <c r="M259" s="12">
        <f>+SUM(H36:H43,H60:H66,H71:H76,H81:H86,H134:H140,H173:H178,H187:H192,H205:H210,H230:H235)</f>
        <v>382696.13051200006</v>
      </c>
      <c r="N259" s="2" t="s">
        <v>410</v>
      </c>
    </row>
    <row r="260" spans="13:17" x14ac:dyDescent="0.25">
      <c r="M260" s="12">
        <f>+Payroll!M137-Budget!M259</f>
        <v>0</v>
      </c>
    </row>
    <row r="262" spans="13:17" x14ac:dyDescent="0.25">
      <c r="M262" s="12"/>
      <c r="N262" s="2" t="s">
        <v>411</v>
      </c>
    </row>
    <row r="263" spans="13:17" x14ac:dyDescent="0.25">
      <c r="M263" s="12"/>
    </row>
    <row r="264" spans="13:17" x14ac:dyDescent="0.25">
      <c r="M264" s="12"/>
    </row>
    <row r="265" spans="13:17" x14ac:dyDescent="0.25">
      <c r="M265" s="12"/>
      <c r="N265" s="2" t="s">
        <v>412</v>
      </c>
    </row>
    <row r="266" spans="13:17" x14ac:dyDescent="0.25">
      <c r="M266" s="12"/>
    </row>
  </sheetData>
  <sheetProtection password="E92F" sheet="1" objects="1" scenarios="1"/>
  <autoFilter ref="I1:I256">
    <filterColumn colId="0">
      <customFilters>
        <customFilter operator="notEqual" val=" "/>
      </customFilters>
    </filterColumn>
  </autoFilter>
  <mergeCells count="2">
    <mergeCell ref="D252:G252"/>
    <mergeCell ref="D254:G254"/>
  </mergeCells>
  <phoneticPr fontId="9" type="noConversion"/>
  <printOptions horizontalCentered="1"/>
  <pageMargins left="0" right="0" top="0.5" bottom="0.5" header="0" footer="0"/>
  <pageSetup fitToHeight="5" orientation="portrait" horizontalDpi="300" verticalDpi="300" r:id="rId1"/>
  <headerFooter alignWithMargins="0"/>
  <rowBreaks count="2" manualBreakCount="2">
    <brk id="80" max="16383" man="1"/>
    <brk id="1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92"/>
  <sheetViews>
    <sheetView topLeftCell="B1" zoomScaleNormal="100" workbookViewId="0">
      <selection activeCell="F32" sqref="F32"/>
    </sheetView>
  </sheetViews>
  <sheetFormatPr defaultColWidth="9.109375" defaultRowHeight="13.2" x14ac:dyDescent="0.25"/>
  <cols>
    <col min="1" max="1" width="6.109375" style="22" hidden="1" customWidth="1"/>
    <col min="2" max="2" width="4" style="5" customWidth="1"/>
    <col min="3" max="4" width="5" style="5" customWidth="1"/>
    <col min="5" max="5" width="4" style="5" customWidth="1"/>
    <col min="6" max="6" width="46.33203125" style="2" bestFit="1" customWidth="1"/>
    <col min="7" max="7" width="13.44140625" style="29" customWidth="1"/>
    <col min="8" max="8" width="9.109375" style="2" hidden="1" customWidth="1"/>
    <col min="9" max="12" width="13.44140625" style="29" customWidth="1"/>
    <col min="13" max="16384" width="9.109375" style="2"/>
  </cols>
  <sheetData>
    <row r="1" spans="1:12" x14ac:dyDescent="0.25">
      <c r="B1" s="94" t="s">
        <v>176</v>
      </c>
      <c r="C1" s="94"/>
      <c r="D1" s="94"/>
      <c r="E1" s="94"/>
      <c r="F1" s="94"/>
      <c r="G1" s="94"/>
      <c r="H1" s="2" t="s">
        <v>189</v>
      </c>
      <c r="I1" s="2"/>
      <c r="J1" s="2"/>
      <c r="K1" s="2"/>
      <c r="L1" s="2"/>
    </row>
    <row r="2" spans="1:12" s="3" customFormat="1" x14ac:dyDescent="0.25">
      <c r="A2" s="22"/>
      <c r="B2" s="94" t="s">
        <v>204</v>
      </c>
      <c r="C2" s="94"/>
      <c r="D2" s="94"/>
      <c r="E2" s="94"/>
      <c r="F2" s="94"/>
      <c r="G2" s="94"/>
      <c r="H2" s="2" t="s">
        <v>189</v>
      </c>
    </row>
    <row r="3" spans="1:12" s="3" customFormat="1" x14ac:dyDescent="0.25">
      <c r="A3" s="22"/>
      <c r="B3" s="94" t="s">
        <v>57</v>
      </c>
      <c r="C3" s="94"/>
      <c r="D3" s="94"/>
      <c r="E3" s="94"/>
      <c r="F3" s="94"/>
      <c r="G3" s="94"/>
      <c r="H3" s="2" t="s">
        <v>189</v>
      </c>
    </row>
    <row r="4" spans="1:12" s="3" customFormat="1" x14ac:dyDescent="0.25">
      <c r="A4" s="22"/>
      <c r="B4" s="95" t="s">
        <v>203</v>
      </c>
      <c r="C4" s="95"/>
      <c r="D4" s="95"/>
      <c r="E4" s="95"/>
      <c r="F4" s="95"/>
      <c r="G4" s="95"/>
      <c r="H4" s="2" t="s">
        <v>189</v>
      </c>
    </row>
    <row r="5" spans="1:12" s="3" customFormat="1" hidden="1" x14ac:dyDescent="0.25">
      <c r="A5" s="22"/>
      <c r="B5" s="95"/>
      <c r="C5" s="95"/>
      <c r="D5" s="95"/>
      <c r="E5" s="95"/>
      <c r="F5" s="95"/>
      <c r="G5" s="95"/>
      <c r="H5" s="2"/>
    </row>
    <row r="6" spans="1:12" s="8" customFormat="1" ht="36" customHeight="1" x14ac:dyDescent="0.25">
      <c r="A6" s="24"/>
      <c r="B6" s="6" t="s">
        <v>58</v>
      </c>
      <c r="C6" s="6"/>
      <c r="D6" s="6"/>
      <c r="E6" s="6"/>
      <c r="F6" s="7" t="s">
        <v>59</v>
      </c>
      <c r="G6" s="7" t="s">
        <v>195</v>
      </c>
      <c r="H6" s="2" t="s">
        <v>189</v>
      </c>
      <c r="I6" s="7" t="s">
        <v>196</v>
      </c>
      <c r="J6" s="7" t="s">
        <v>197</v>
      </c>
      <c r="K6" s="7" t="s">
        <v>198</v>
      </c>
      <c r="L6" s="7" t="s">
        <v>199</v>
      </c>
    </row>
    <row r="7" spans="1:12" s="8" customFormat="1" ht="12.75" customHeight="1" x14ac:dyDescent="0.25">
      <c r="A7" s="24"/>
      <c r="B7" s="9"/>
      <c r="C7" s="9"/>
      <c r="D7" s="9"/>
      <c r="E7" s="9"/>
      <c r="G7" s="27"/>
      <c r="H7" s="2" t="s">
        <v>189</v>
      </c>
      <c r="I7" s="27"/>
      <c r="J7" s="27"/>
      <c r="K7" s="27"/>
      <c r="L7" s="27"/>
    </row>
    <row r="8" spans="1:12" s="8" customFormat="1" ht="12.75" hidden="1" customHeight="1" x14ac:dyDescent="0.25">
      <c r="A8" s="24"/>
      <c r="B8" s="10" t="s">
        <v>60</v>
      </c>
      <c r="C8" s="10"/>
      <c r="D8" s="10"/>
      <c r="E8" s="10"/>
      <c r="G8" s="27"/>
      <c r="I8" s="27"/>
      <c r="J8" s="27"/>
      <c r="K8" s="27"/>
      <c r="L8" s="27"/>
    </row>
    <row r="9" spans="1:12" x14ac:dyDescent="0.25">
      <c r="F9" s="11" t="s">
        <v>41</v>
      </c>
      <c r="G9" s="28"/>
      <c r="H9" s="2" t="s">
        <v>189</v>
      </c>
      <c r="I9" s="28"/>
      <c r="J9" s="28"/>
      <c r="K9" s="28"/>
      <c r="L9" s="28"/>
    </row>
    <row r="10" spans="1:12" ht="12" customHeight="1" x14ac:dyDescent="0.25">
      <c r="F10" s="13"/>
      <c r="G10" s="28"/>
      <c r="H10" s="2" t="s">
        <v>189</v>
      </c>
      <c r="I10" s="28"/>
      <c r="J10" s="28"/>
      <c r="K10" s="28"/>
      <c r="L10" s="28"/>
    </row>
    <row r="11" spans="1:12" x14ac:dyDescent="0.25">
      <c r="B11" s="42">
        <f>+'Rev Input'!B10</f>
        <v>0</v>
      </c>
      <c r="C11" s="42">
        <f>+'Rev Input'!C10</f>
        <v>0</v>
      </c>
      <c r="D11" s="42">
        <f>+'Rev Input'!D10</f>
        <v>0</v>
      </c>
      <c r="E11" s="42">
        <f>+'Rev Input'!E10</f>
        <v>0</v>
      </c>
      <c r="F11" s="42">
        <f>+'Rev Input'!F10</f>
        <v>0</v>
      </c>
      <c r="G11" s="93">
        <f>+'Rev Input'!M10</f>
        <v>0</v>
      </c>
      <c r="H11" s="2" t="str">
        <f>IF(G11&gt;0.49,"*","")</f>
        <v/>
      </c>
      <c r="I11" s="93">
        <f>+G11/EnrNew*500*Inf</f>
        <v>0</v>
      </c>
      <c r="J11" s="93">
        <f>+I11/500*550*Inf</f>
        <v>0</v>
      </c>
      <c r="K11" s="93">
        <f>+J11*Inf</f>
        <v>0</v>
      </c>
      <c r="L11" s="93">
        <f>+K11*Inf</f>
        <v>0</v>
      </c>
    </row>
    <row r="12" spans="1:12" x14ac:dyDescent="0.25">
      <c r="B12" s="42">
        <f>+'Rev Input'!B11</f>
        <v>100</v>
      </c>
      <c r="C12" s="42">
        <f>+'Rev Input'!C11</f>
        <v>3230</v>
      </c>
      <c r="D12" s="42">
        <f>+'Rev Input'!D11</f>
        <v>0</v>
      </c>
      <c r="E12" s="42">
        <f>+'Rev Input'!E11</f>
        <v>0</v>
      </c>
      <c r="F12" s="42" t="str">
        <f>+'Rev Input'!F11</f>
        <v>IDEA</v>
      </c>
      <c r="G12" s="93">
        <f>+'Rev Input'!M11</f>
        <v>45062.628969860547</v>
      </c>
      <c r="H12" s="2" t="str">
        <f t="shared" ref="H12:H77" si="0">IF(G12&gt;0.49,"*","")</f>
        <v>*</v>
      </c>
      <c r="I12" s="93">
        <f>+G12/EnrNew*500*Inf</f>
        <v>523381.50022492133</v>
      </c>
      <c r="J12" s="93">
        <f>+I12/500*550*Inf</f>
        <v>581476.84674988757</v>
      </c>
      <c r="K12" s="93">
        <f>+J12*Inf</f>
        <v>587291.6152173864</v>
      </c>
      <c r="L12" s="93">
        <f>+K12*Inf</f>
        <v>593164.53136956028</v>
      </c>
    </row>
    <row r="13" spans="1:12" x14ac:dyDescent="0.25">
      <c r="B13" s="42">
        <f>+'Rev Input'!B12</f>
        <v>100</v>
      </c>
      <c r="C13" s="42">
        <f>+'Rev Input'!C12</f>
        <v>3290</v>
      </c>
      <c r="D13" s="42">
        <f>+'Rev Input'!D12</f>
        <v>0</v>
      </c>
      <c r="E13" s="42">
        <f>+'Rev Input'!E12</f>
        <v>0</v>
      </c>
      <c r="F13" s="42" t="str">
        <f>+'Rev Input'!F12</f>
        <v>New Freedom Transportation Grant</v>
      </c>
      <c r="G13" s="93">
        <f>+'Rev Input'!M12</f>
        <v>83410.052613585241</v>
      </c>
      <c r="H13" s="2" t="str">
        <f t="shared" si="0"/>
        <v>*</v>
      </c>
      <c r="I13" s="93">
        <f>+G13/EnrNew*500</f>
        <v>959177.23796671163</v>
      </c>
      <c r="J13" s="93">
        <f>+I13/500*550</f>
        <v>1055094.9617633829</v>
      </c>
      <c r="K13" s="93">
        <f>+J13</f>
        <v>1055094.9617633829</v>
      </c>
      <c r="L13" s="93">
        <f>+K13</f>
        <v>1055094.9617633829</v>
      </c>
    </row>
    <row r="14" spans="1:12" x14ac:dyDescent="0.25">
      <c r="B14" s="42">
        <f>+'Rev Input'!B14</f>
        <v>100</v>
      </c>
      <c r="C14" s="42">
        <f>+'Rev Input'!C14</f>
        <v>3334</v>
      </c>
      <c r="D14" s="42">
        <f>+'Rev Input'!D14</f>
        <v>0</v>
      </c>
      <c r="E14" s="42">
        <f>+'Rev Input'!E14</f>
        <v>0</v>
      </c>
      <c r="F14" s="42" t="str">
        <f>+'Rev Input'!F14</f>
        <v>Florida Teacher's Lead Program</v>
      </c>
      <c r="G14" s="93">
        <f>+'Rev Input'!M14</f>
        <v>247.42330184435446</v>
      </c>
      <c r="H14" s="2" t="str">
        <f t="shared" si="0"/>
        <v>*</v>
      </c>
      <c r="I14" s="93">
        <f>+G14/EnrNew*500*Inf</f>
        <v>2873.7067026540713</v>
      </c>
      <c r="J14" s="93">
        <f>+I14/500*550*Inf</f>
        <v>3192.6881466486734</v>
      </c>
      <c r="K14" s="93">
        <f>+J14*Inf</f>
        <v>3224.6150281151604</v>
      </c>
      <c r="L14" s="93">
        <f>+K14*Inf</f>
        <v>3256.861178396312</v>
      </c>
    </row>
    <row r="15" spans="1:12" x14ac:dyDescent="0.25">
      <c r="B15" s="42">
        <f>+'Rev Input'!B16</f>
        <v>100</v>
      </c>
      <c r="C15" s="42">
        <f>+'Rev Input'!C16</f>
        <v>3400</v>
      </c>
      <c r="D15" s="42">
        <f>+'Rev Input'!D16</f>
        <v>0</v>
      </c>
      <c r="E15" s="42">
        <f>+'Rev Input'!E16</f>
        <v>0</v>
      </c>
      <c r="F15" s="42" t="str">
        <f>+'Rev Input'!F16</f>
        <v>Interest Income</v>
      </c>
      <c r="G15" s="93">
        <f>+'Rev Input'!M16</f>
        <v>28.233639226270803</v>
      </c>
      <c r="H15" s="2" t="str">
        <f t="shared" si="0"/>
        <v>*</v>
      </c>
      <c r="I15" s="93">
        <f>+G15</f>
        <v>28.233639226270803</v>
      </c>
      <c r="J15" s="93">
        <f>+I15</f>
        <v>28.233639226270803</v>
      </c>
      <c r="K15" s="93">
        <f>+J15</f>
        <v>28.233639226270803</v>
      </c>
      <c r="L15" s="93">
        <f>+K15</f>
        <v>28.233639226270803</v>
      </c>
    </row>
    <row r="16" spans="1:12" x14ac:dyDescent="0.25">
      <c r="B16" s="42">
        <f>+'Rev Input'!B18</f>
        <v>100</v>
      </c>
      <c r="C16" s="42">
        <f>+'Rev Input'!C18</f>
        <v>3600</v>
      </c>
      <c r="D16" s="42">
        <f>+'Rev Input'!D18</f>
        <v>0</v>
      </c>
      <c r="E16" s="42">
        <f>+'Rev Input'!E18</f>
        <v>0</v>
      </c>
      <c r="F16" s="42" t="str">
        <f>+'Rev Input'!F18</f>
        <v>Donations</v>
      </c>
      <c r="G16" s="93">
        <f>+'Rev Input'!M18</f>
        <v>91413.873702204219</v>
      </c>
      <c r="H16" s="2" t="str">
        <f t="shared" si="0"/>
        <v>*</v>
      </c>
      <c r="I16" s="93">
        <f t="shared" ref="I16:I22" si="1">+G16/EnrNew*500*Inf</f>
        <v>1061729.6738641474</v>
      </c>
      <c r="J16" s="93">
        <f t="shared" ref="J16:J22" si="2">+I16/500*550*Inf</f>
        <v>1179581.6676630678</v>
      </c>
      <c r="K16" s="93">
        <f t="shared" ref="K16:L22" si="3">+J16*Inf</f>
        <v>1191377.4843396985</v>
      </c>
      <c r="L16" s="93">
        <f t="shared" si="3"/>
        <v>1203291.2591830955</v>
      </c>
    </row>
    <row r="17" spans="1:12" x14ac:dyDescent="0.25">
      <c r="B17" s="42">
        <f>+'Rev Input'!B19</f>
        <v>495</v>
      </c>
      <c r="C17" s="42">
        <f>+'Rev Input'!C19</f>
        <v>3318</v>
      </c>
      <c r="D17" s="42">
        <f>+'Rev Input'!D19</f>
        <v>0</v>
      </c>
      <c r="E17" s="42">
        <f>+'Rev Input'!E19</f>
        <v>0</v>
      </c>
      <c r="F17" s="42" t="str">
        <f>+'Rev Input'!F19</f>
        <v>Adults with Disabilities</v>
      </c>
      <c r="G17" s="93">
        <f>+'Rev Input'!M19</f>
        <v>0</v>
      </c>
      <c r="H17" s="2" t="str">
        <f t="shared" si="0"/>
        <v/>
      </c>
      <c r="I17" s="93">
        <f t="shared" si="1"/>
        <v>0</v>
      </c>
      <c r="J17" s="93">
        <f t="shared" si="2"/>
        <v>0</v>
      </c>
      <c r="K17" s="93">
        <f t="shared" si="3"/>
        <v>0</v>
      </c>
      <c r="L17" s="93">
        <f t="shared" si="3"/>
        <v>0</v>
      </c>
    </row>
    <row r="18" spans="1:12" x14ac:dyDescent="0.25">
      <c r="B18" s="42">
        <f>+'Rev Input'!B20</f>
        <v>0</v>
      </c>
      <c r="C18" s="42">
        <f>+'Rev Input'!C20</f>
        <v>0</v>
      </c>
      <c r="D18" s="42">
        <f>+'Rev Input'!D20</f>
        <v>0</v>
      </c>
      <c r="E18" s="42">
        <f>+'Rev Input'!E20</f>
        <v>0</v>
      </c>
      <c r="F18" s="42">
        <f>+'Rev Input'!F20</f>
        <v>0</v>
      </c>
      <c r="G18" s="93">
        <f>+'Rev Input'!M20</f>
        <v>0</v>
      </c>
      <c r="H18" s="2" t="str">
        <f t="shared" si="0"/>
        <v/>
      </c>
      <c r="I18" s="93">
        <f t="shared" si="1"/>
        <v>0</v>
      </c>
      <c r="J18" s="93">
        <f t="shared" si="2"/>
        <v>0</v>
      </c>
      <c r="K18" s="93">
        <f t="shared" si="3"/>
        <v>0</v>
      </c>
      <c r="L18" s="93">
        <f t="shared" si="3"/>
        <v>0</v>
      </c>
    </row>
    <row r="19" spans="1:12" x14ac:dyDescent="0.25">
      <c r="B19" s="42" t="e">
        <f>+'Rev Input'!#REF!</f>
        <v>#REF!</v>
      </c>
      <c r="C19" s="42" t="e">
        <f>+'Rev Input'!#REF!</f>
        <v>#REF!</v>
      </c>
      <c r="D19" s="42" t="e">
        <f>+'Rev Input'!#REF!</f>
        <v>#REF!</v>
      </c>
      <c r="E19" s="42" t="e">
        <f>+'Rev Input'!#REF!</f>
        <v>#REF!</v>
      </c>
      <c r="F19" s="42" t="e">
        <f>+'Rev Input'!#REF!</f>
        <v>#REF!</v>
      </c>
      <c r="G19" s="93" t="e">
        <f>+'Rev Input'!#REF!</f>
        <v>#REF!</v>
      </c>
      <c r="H19" s="2" t="e">
        <f t="shared" si="0"/>
        <v>#REF!</v>
      </c>
      <c r="I19" s="93" t="e">
        <f t="shared" si="1"/>
        <v>#REF!</v>
      </c>
      <c r="J19" s="93" t="e">
        <f t="shared" si="2"/>
        <v>#REF!</v>
      </c>
      <c r="K19" s="93" t="e">
        <f t="shared" si="3"/>
        <v>#REF!</v>
      </c>
      <c r="L19" s="93" t="e">
        <f t="shared" si="3"/>
        <v>#REF!</v>
      </c>
    </row>
    <row r="20" spans="1:12" hidden="1" x14ac:dyDescent="0.25">
      <c r="B20" s="42">
        <f>+'Rev Input'!B24</f>
        <v>0</v>
      </c>
      <c r="C20" s="42">
        <f>+'Rev Input'!C24</f>
        <v>0</v>
      </c>
      <c r="D20" s="42">
        <f>+'Rev Input'!D24</f>
        <v>0</v>
      </c>
      <c r="E20" s="42">
        <f>+'Rev Input'!E24</f>
        <v>0</v>
      </c>
      <c r="F20" s="42">
        <f>+'Rev Input'!F24</f>
        <v>0</v>
      </c>
      <c r="G20" s="93">
        <f>+'Rev Input'!M24</f>
        <v>0</v>
      </c>
      <c r="H20" s="2" t="str">
        <f t="shared" si="0"/>
        <v/>
      </c>
      <c r="I20" s="93">
        <f t="shared" si="1"/>
        <v>0</v>
      </c>
      <c r="J20" s="93">
        <f t="shared" si="2"/>
        <v>0</v>
      </c>
      <c r="K20" s="93">
        <f t="shared" si="3"/>
        <v>0</v>
      </c>
      <c r="L20" s="93">
        <f t="shared" si="3"/>
        <v>0</v>
      </c>
    </row>
    <row r="21" spans="1:12" x14ac:dyDescent="0.25">
      <c r="B21" s="42">
        <f>+'Rev Input'!B30</f>
        <v>0</v>
      </c>
      <c r="C21" s="42">
        <f>+'Rev Input'!C30</f>
        <v>0</v>
      </c>
      <c r="D21" s="42">
        <f>+'Rev Input'!D30</f>
        <v>0</v>
      </c>
      <c r="E21" s="42">
        <f>+'Rev Input'!E30</f>
        <v>0</v>
      </c>
      <c r="F21" s="42">
        <f>+'Rev Input'!F30</f>
        <v>0</v>
      </c>
      <c r="G21" s="93">
        <f>+'Rev Input'!M30</f>
        <v>0</v>
      </c>
      <c r="H21" s="2" t="str">
        <f t="shared" si="0"/>
        <v/>
      </c>
      <c r="I21" s="93">
        <f t="shared" si="1"/>
        <v>0</v>
      </c>
      <c r="J21" s="93">
        <f t="shared" si="2"/>
        <v>0</v>
      </c>
      <c r="K21" s="93">
        <f t="shared" si="3"/>
        <v>0</v>
      </c>
      <c r="L21" s="93">
        <f t="shared" si="3"/>
        <v>0</v>
      </c>
    </row>
    <row r="22" spans="1:12" x14ac:dyDescent="0.25">
      <c r="B22" s="42">
        <f>+'Rev Input'!B31</f>
        <v>0</v>
      </c>
      <c r="C22" s="42">
        <f>+'Rev Input'!C31</f>
        <v>0</v>
      </c>
      <c r="D22" s="42">
        <f>+'Rev Input'!D31</f>
        <v>0</v>
      </c>
      <c r="E22" s="42">
        <f>+'Rev Input'!E31</f>
        <v>0</v>
      </c>
      <c r="F22" s="42">
        <f>+'Rev Input'!F31</f>
        <v>0</v>
      </c>
      <c r="G22" s="93">
        <f>+'Rev Input'!M31</f>
        <v>0</v>
      </c>
      <c r="H22" s="2" t="str">
        <f t="shared" si="0"/>
        <v/>
      </c>
      <c r="I22" s="93">
        <f t="shared" si="1"/>
        <v>0</v>
      </c>
      <c r="J22" s="93">
        <f t="shared" si="2"/>
        <v>0</v>
      </c>
      <c r="K22" s="93">
        <f t="shared" si="3"/>
        <v>0</v>
      </c>
      <c r="L22" s="93">
        <f t="shared" si="3"/>
        <v>0</v>
      </c>
    </row>
    <row r="23" spans="1:12" hidden="1" x14ac:dyDescent="0.25">
      <c r="B23" s="42"/>
      <c r="C23" s="42"/>
      <c r="D23" s="42"/>
      <c r="E23" s="42"/>
      <c r="F23" s="42"/>
      <c r="G23" s="93"/>
      <c r="H23" s="2" t="str">
        <f t="shared" si="0"/>
        <v/>
      </c>
      <c r="I23" s="93"/>
      <c r="J23" s="93"/>
      <c r="K23" s="93"/>
      <c r="L23" s="93"/>
    </row>
    <row r="24" spans="1:12" hidden="1" x14ac:dyDescent="0.25">
      <c r="B24" s="42"/>
      <c r="C24" s="42"/>
      <c r="D24" s="42"/>
      <c r="E24" s="42"/>
      <c r="F24" s="42"/>
      <c r="G24" s="93"/>
      <c r="H24" s="2" t="str">
        <f t="shared" si="0"/>
        <v/>
      </c>
      <c r="I24" s="93"/>
      <c r="J24" s="93"/>
      <c r="K24" s="93"/>
      <c r="L24" s="93"/>
    </row>
    <row r="25" spans="1:12" x14ac:dyDescent="0.25">
      <c r="B25" s="42"/>
      <c r="C25" s="42"/>
      <c r="D25" s="42"/>
      <c r="E25" s="42"/>
      <c r="F25" s="42"/>
      <c r="G25" s="28"/>
      <c r="H25" s="2" t="e">
        <f>IF(H26="*","*","")</f>
        <v>#REF!</v>
      </c>
      <c r="I25" s="28"/>
      <c r="J25" s="28"/>
      <c r="K25" s="28"/>
      <c r="L25" s="28"/>
    </row>
    <row r="26" spans="1:12" ht="15" customHeight="1" x14ac:dyDescent="0.25">
      <c r="F26" s="21" t="s">
        <v>42</v>
      </c>
      <c r="G26" s="39" t="e">
        <f>SUM(G11:G25)</f>
        <v>#REF!</v>
      </c>
      <c r="H26" s="2" t="e">
        <f t="shared" si="0"/>
        <v>#REF!</v>
      </c>
      <c r="I26" s="39" t="e">
        <f>SUM(I11:I25)</f>
        <v>#REF!</v>
      </c>
      <c r="J26" s="39" t="e">
        <f>SUM(J11:J25)</f>
        <v>#REF!</v>
      </c>
      <c r="K26" s="39" t="e">
        <f>SUM(K11:K25)</f>
        <v>#REF!</v>
      </c>
      <c r="L26" s="39" t="e">
        <f>SUM(L11:L25)</f>
        <v>#REF!</v>
      </c>
    </row>
    <row r="27" spans="1:12" x14ac:dyDescent="0.25">
      <c r="F27" s="14"/>
      <c r="H27" s="2" t="e">
        <f>IF(H26="*","*","")</f>
        <v>#REF!</v>
      </c>
    </row>
    <row r="28" spans="1:12" x14ac:dyDescent="0.25">
      <c r="F28" s="13" t="s">
        <v>43</v>
      </c>
      <c r="H28" s="2" t="s">
        <v>189</v>
      </c>
    </row>
    <row r="29" spans="1:12" x14ac:dyDescent="0.25">
      <c r="B29" s="2"/>
      <c r="C29" s="2"/>
      <c r="D29" s="2"/>
      <c r="E29" s="2"/>
      <c r="H29" s="2" t="s">
        <v>189</v>
      </c>
    </row>
    <row r="30" spans="1:12" x14ac:dyDescent="0.25">
      <c r="A30" s="25">
        <v>1</v>
      </c>
      <c r="B30" s="42">
        <v>100</v>
      </c>
      <c r="C30" s="42">
        <v>4000</v>
      </c>
      <c r="D30" s="42">
        <v>5100</v>
      </c>
      <c r="E30" s="42">
        <v>120</v>
      </c>
      <c r="F30" s="42" t="s">
        <v>1</v>
      </c>
      <c r="G30" s="29">
        <f>+Payroll!E40</f>
        <v>87979.92</v>
      </c>
      <c r="H30" s="2" t="str">
        <f t="shared" si="0"/>
        <v>*</v>
      </c>
      <c r="I30" s="93">
        <f t="shared" ref="I30:I43" si="4">+G30/EnrNew*500*Inf</f>
        <v>1021845.8969641215</v>
      </c>
      <c r="J30" s="93">
        <f t="shared" ref="J30:J43" si="5">+I30/500*550*Inf</f>
        <v>1135270.791527139</v>
      </c>
      <c r="K30" s="93">
        <f t="shared" ref="K30:L43" si="6">+J30*Inf</f>
        <v>1146623.4994424104</v>
      </c>
      <c r="L30" s="93">
        <f t="shared" si="6"/>
        <v>1158089.7344368345</v>
      </c>
    </row>
    <row r="31" spans="1:12" x14ac:dyDescent="0.25">
      <c r="A31" s="25">
        <v>1</v>
      </c>
      <c r="B31" s="42">
        <v>100</v>
      </c>
      <c r="C31" s="42">
        <v>4000</v>
      </c>
      <c r="D31" s="42">
        <v>5100</v>
      </c>
      <c r="E31" s="42">
        <v>150</v>
      </c>
      <c r="F31" s="42" t="s">
        <v>3</v>
      </c>
      <c r="G31" s="29">
        <f>+Payroll!E74</f>
        <v>113234.4</v>
      </c>
      <c r="H31" s="2" t="str">
        <f t="shared" si="0"/>
        <v>*</v>
      </c>
      <c r="I31" s="93">
        <f t="shared" si="4"/>
        <v>1315164.949402024</v>
      </c>
      <c r="J31" s="93">
        <f t="shared" si="5"/>
        <v>1461148.2587856487</v>
      </c>
      <c r="K31" s="93">
        <f t="shared" si="6"/>
        <v>1475759.7413735052</v>
      </c>
      <c r="L31" s="93">
        <f t="shared" si="6"/>
        <v>1490517.3387872402</v>
      </c>
    </row>
    <row r="32" spans="1:12" x14ac:dyDescent="0.25">
      <c r="A32" s="25">
        <v>1</v>
      </c>
      <c r="B32" s="42">
        <v>100</v>
      </c>
      <c r="C32" s="42">
        <v>4000</v>
      </c>
      <c r="D32" s="42">
        <v>5100</v>
      </c>
      <c r="E32" s="42">
        <v>210</v>
      </c>
      <c r="F32" s="42" t="s">
        <v>73</v>
      </c>
      <c r="G32" s="29">
        <f>+Payroll!F40+Payroll!F74</f>
        <v>14507.552471999998</v>
      </c>
      <c r="H32" s="2" t="str">
        <f t="shared" si="0"/>
        <v>*</v>
      </c>
      <c r="I32" s="93">
        <f t="shared" si="4"/>
        <v>168498.48202299909</v>
      </c>
      <c r="J32" s="93">
        <f t="shared" si="5"/>
        <v>187201.81352755197</v>
      </c>
      <c r="K32" s="93">
        <f t="shared" si="6"/>
        <v>189073.83166282749</v>
      </c>
      <c r="L32" s="93">
        <f t="shared" si="6"/>
        <v>190964.56997945576</v>
      </c>
    </row>
    <row r="33" spans="1:12" x14ac:dyDescent="0.25">
      <c r="A33" s="25">
        <v>1</v>
      </c>
      <c r="B33" s="42">
        <v>100</v>
      </c>
      <c r="C33" s="42">
        <v>4000</v>
      </c>
      <c r="D33" s="42">
        <v>5100</v>
      </c>
      <c r="E33" s="42">
        <v>220</v>
      </c>
      <c r="F33" s="42" t="s">
        <v>74</v>
      </c>
      <c r="G33" s="29">
        <f>+Payroll!H40+Payroll!H74</f>
        <v>15392.895479999997</v>
      </c>
      <c r="H33" s="2" t="str">
        <f t="shared" si="0"/>
        <v>*</v>
      </c>
      <c r="I33" s="93">
        <f t="shared" si="4"/>
        <v>178781.32974701011</v>
      </c>
      <c r="J33" s="93">
        <f t="shared" si="5"/>
        <v>198626.05734892824</v>
      </c>
      <c r="K33" s="93">
        <f t="shared" si="6"/>
        <v>200612.31792241751</v>
      </c>
      <c r="L33" s="93">
        <f t="shared" si="6"/>
        <v>202618.44110164169</v>
      </c>
    </row>
    <row r="34" spans="1:12" x14ac:dyDescent="0.25">
      <c r="A34" s="25">
        <v>1</v>
      </c>
      <c r="B34" s="42">
        <v>100</v>
      </c>
      <c r="C34" s="42">
        <v>4000</v>
      </c>
      <c r="D34" s="42">
        <v>5100</v>
      </c>
      <c r="E34" s="42">
        <v>230</v>
      </c>
      <c r="F34" s="42" t="s">
        <v>75</v>
      </c>
      <c r="G34" s="29">
        <f>+Payroll!I40+Payroll!I74</f>
        <v>23200.76</v>
      </c>
      <c r="H34" s="2" t="str">
        <f t="shared" si="0"/>
        <v>*</v>
      </c>
      <c r="I34" s="93">
        <f t="shared" si="4"/>
        <v>269466.04875804967</v>
      </c>
      <c r="J34" s="93">
        <f t="shared" si="5"/>
        <v>299376.78017019317</v>
      </c>
      <c r="K34" s="93">
        <f t="shared" si="6"/>
        <v>302370.54797189508</v>
      </c>
      <c r="L34" s="93">
        <f t="shared" si="6"/>
        <v>305394.25345161406</v>
      </c>
    </row>
    <row r="35" spans="1:12" x14ac:dyDescent="0.25">
      <c r="A35" s="25">
        <v>1</v>
      </c>
      <c r="B35" s="42">
        <v>100</v>
      </c>
      <c r="C35" s="42">
        <v>4000</v>
      </c>
      <c r="D35" s="42">
        <v>5100</v>
      </c>
      <c r="E35" s="42">
        <v>240</v>
      </c>
      <c r="F35" s="42" t="s">
        <v>76</v>
      </c>
      <c r="G35" s="29">
        <f>+Payroll!K40+Payroll!K74</f>
        <v>1006.0716</v>
      </c>
      <c r="H35" s="2" t="str">
        <f t="shared" si="0"/>
        <v>*</v>
      </c>
      <c r="I35" s="93">
        <f t="shared" si="4"/>
        <v>11685.054231830729</v>
      </c>
      <c r="J35" s="93">
        <f t="shared" si="5"/>
        <v>12982.095251563942</v>
      </c>
      <c r="K35" s="93">
        <f t="shared" si="6"/>
        <v>13111.916204079582</v>
      </c>
      <c r="L35" s="93">
        <f t="shared" si="6"/>
        <v>13243.035366120377</v>
      </c>
    </row>
    <row r="36" spans="1:12" x14ac:dyDescent="0.25">
      <c r="A36" s="25">
        <v>1</v>
      </c>
      <c r="B36" s="42">
        <v>100</v>
      </c>
      <c r="C36" s="42">
        <v>4000</v>
      </c>
      <c r="D36" s="42">
        <v>5100</v>
      </c>
      <c r="E36" s="42">
        <v>250</v>
      </c>
      <c r="F36" s="42" t="s">
        <v>77</v>
      </c>
      <c r="G36" s="29">
        <f>+Payroll!L40+Payroll!L74</f>
        <v>2520</v>
      </c>
      <c r="H36" s="2" t="str">
        <f t="shared" si="0"/>
        <v>*</v>
      </c>
      <c r="I36" s="93">
        <f t="shared" si="4"/>
        <v>29268.629254829808</v>
      </c>
      <c r="J36" s="93">
        <f t="shared" si="5"/>
        <v>32517.447102115915</v>
      </c>
      <c r="K36" s="93">
        <f t="shared" si="6"/>
        <v>32842.621573137076</v>
      </c>
      <c r="L36" s="93">
        <f t="shared" si="6"/>
        <v>33171.047788868447</v>
      </c>
    </row>
    <row r="37" spans="1:12" hidden="1" x14ac:dyDescent="0.25">
      <c r="A37" s="25"/>
      <c r="B37" s="42">
        <f>+' Expense Input'!B9</f>
        <v>100</v>
      </c>
      <c r="C37" s="42">
        <f>+' Expense Input'!C9</f>
        <v>4000</v>
      </c>
      <c r="D37" s="42">
        <f>+' Expense Input'!D9</f>
        <v>5200</v>
      </c>
      <c r="E37" s="42">
        <f>+' Expense Input'!E9</f>
        <v>310</v>
      </c>
      <c r="F37" s="42" t="str">
        <f>+' Expense Input'!F9</f>
        <v>Contracted Services</v>
      </c>
      <c r="G37" s="93">
        <f>+' Expense Input'!M9</f>
        <v>39601.48952928475</v>
      </c>
      <c r="H37" s="2" t="str">
        <f t="shared" si="0"/>
        <v>*</v>
      </c>
      <c r="I37" s="93">
        <f t="shared" si="4"/>
        <v>459952.9027665318</v>
      </c>
      <c r="J37" s="93">
        <f t="shared" si="5"/>
        <v>511007.67497361684</v>
      </c>
      <c r="K37" s="93">
        <f t="shared" si="6"/>
        <v>516117.75172335299</v>
      </c>
      <c r="L37" s="93">
        <f t="shared" si="6"/>
        <v>521278.92924058653</v>
      </c>
    </row>
    <row r="38" spans="1:12" hidden="1" x14ac:dyDescent="0.25">
      <c r="A38" s="25"/>
      <c r="B38" s="42">
        <f>+' Expense Input'!B10</f>
        <v>100</v>
      </c>
      <c r="C38" s="42">
        <f>+' Expense Input'!C10</f>
        <v>4000</v>
      </c>
      <c r="D38" s="42">
        <f>+' Expense Input'!D10</f>
        <v>5200</v>
      </c>
      <c r="E38" s="42">
        <f>+' Expense Input'!E10</f>
        <v>315</v>
      </c>
      <c r="F38" s="42" t="str">
        <f>+' Expense Input'!F10</f>
        <v>Field Trips</v>
      </c>
      <c r="G38" s="93">
        <f>+' Expense Input'!M10</f>
        <v>882.79020467836256</v>
      </c>
      <c r="H38" s="2" t="str">
        <f t="shared" si="0"/>
        <v>*</v>
      </c>
      <c r="I38" s="93">
        <f t="shared" si="4"/>
        <v>10253.198099415205</v>
      </c>
      <c r="J38" s="93">
        <f t="shared" si="5"/>
        <v>11391.303088450295</v>
      </c>
      <c r="K38" s="93">
        <f t="shared" si="6"/>
        <v>11505.216119334798</v>
      </c>
      <c r="L38" s="93">
        <f t="shared" si="6"/>
        <v>11620.268280528146</v>
      </c>
    </row>
    <row r="39" spans="1:12" hidden="1" x14ac:dyDescent="0.25">
      <c r="A39" s="25"/>
      <c r="B39" s="42">
        <f>+' Expense Input'!B12</f>
        <v>100</v>
      </c>
      <c r="C39" s="42">
        <f>+' Expense Input'!C12</f>
        <v>4000</v>
      </c>
      <c r="D39" s="42">
        <f>+' Expense Input'!D12</f>
        <v>5200</v>
      </c>
      <c r="E39" s="42">
        <f>+' Expense Input'!E12</f>
        <v>390</v>
      </c>
      <c r="F39" s="42" t="str">
        <f>+' Expense Input'!F12</f>
        <v>Copy and Printing</v>
      </c>
      <c r="G39" s="93">
        <f>+' Expense Input'!M12</f>
        <v>8465.4814796221308</v>
      </c>
      <c r="H39" s="2" t="str">
        <f t="shared" si="0"/>
        <v>*</v>
      </c>
      <c r="I39" s="93">
        <f t="shared" si="4"/>
        <v>98322.634480431836</v>
      </c>
      <c r="J39" s="93">
        <f t="shared" si="5"/>
        <v>109236.44690775976</v>
      </c>
      <c r="K39" s="93">
        <f t="shared" si="6"/>
        <v>110328.81137683736</v>
      </c>
      <c r="L39" s="93">
        <f t="shared" si="6"/>
        <v>111432.09949060573</v>
      </c>
    </row>
    <row r="40" spans="1:12" x14ac:dyDescent="0.25">
      <c r="A40" s="25"/>
      <c r="B40" s="42">
        <f>+' Expense Input'!B13</f>
        <v>100</v>
      </c>
      <c r="C40" s="42">
        <f>+' Expense Input'!C13</f>
        <v>4000</v>
      </c>
      <c r="D40" s="42">
        <f>+' Expense Input'!D13</f>
        <v>5200</v>
      </c>
      <c r="E40" s="42">
        <f>+' Expense Input'!E13</f>
        <v>510</v>
      </c>
      <c r="F40" s="42" t="str">
        <f>+' Expense Input'!F13</f>
        <v>Instructional Materials</v>
      </c>
      <c r="G40" s="93">
        <f>+' Expense Input'!M13</f>
        <v>61766.087181016635</v>
      </c>
      <c r="H40" s="2" t="str">
        <f t="shared" si="0"/>
        <v>*</v>
      </c>
      <c r="I40" s="93">
        <f t="shared" si="4"/>
        <v>717384.407231219</v>
      </c>
      <c r="J40" s="93">
        <f t="shared" si="5"/>
        <v>797014.07643388445</v>
      </c>
      <c r="K40" s="93">
        <f t="shared" si="6"/>
        <v>804984.21719822334</v>
      </c>
      <c r="L40" s="93">
        <f t="shared" si="6"/>
        <v>813034.05937020562</v>
      </c>
    </row>
    <row r="41" spans="1:12" x14ac:dyDescent="0.25">
      <c r="A41" s="25"/>
      <c r="B41" s="42">
        <f>+' Expense Input'!B14</f>
        <v>100</v>
      </c>
      <c r="C41" s="42">
        <f>+' Expense Input'!C14</f>
        <v>4000</v>
      </c>
      <c r="D41" s="42">
        <f>+' Expense Input'!D14</f>
        <v>5200</v>
      </c>
      <c r="E41" s="42">
        <f>+' Expense Input'!E14</f>
        <v>520</v>
      </c>
      <c r="F41" s="42" t="str">
        <f>+' Expense Input'!F14</f>
        <v>Textbooks</v>
      </c>
      <c r="G41" s="93">
        <f>+' Expense Input'!M14</f>
        <v>108.70048897885738</v>
      </c>
      <c r="H41" s="2" t="str">
        <f t="shared" si="0"/>
        <v>*</v>
      </c>
      <c r="I41" s="93">
        <f t="shared" si="4"/>
        <v>1262.5056792622581</v>
      </c>
      <c r="J41" s="93">
        <f t="shared" si="5"/>
        <v>1402.6438096603688</v>
      </c>
      <c r="K41" s="93">
        <f t="shared" si="6"/>
        <v>1416.6702477569725</v>
      </c>
      <c r="L41" s="93">
        <f t="shared" si="6"/>
        <v>1430.8369502345422</v>
      </c>
    </row>
    <row r="42" spans="1:12" x14ac:dyDescent="0.25">
      <c r="A42" s="25"/>
      <c r="B42" s="42">
        <f>+' Expense Input'!B15</f>
        <v>100</v>
      </c>
      <c r="C42" s="42">
        <f>+' Expense Input'!C15</f>
        <v>4000</v>
      </c>
      <c r="D42" s="42">
        <f>+' Expense Input'!D15</f>
        <v>5200</v>
      </c>
      <c r="E42" s="42">
        <f>+' Expense Input'!E15</f>
        <v>640</v>
      </c>
      <c r="F42" s="42" t="str">
        <f>+' Expense Input'!F15</f>
        <v>Capital Furniture &amp; Equipment</v>
      </c>
      <c r="G42" s="93">
        <f>+' Expense Input'!M15</f>
        <v>197.53758101664417</v>
      </c>
      <c r="H42" s="2" t="str">
        <f t="shared" si="0"/>
        <v>*</v>
      </c>
      <c r="I42" s="93">
        <f t="shared" si="4"/>
        <v>2294.3072312190734</v>
      </c>
      <c r="J42" s="93">
        <f t="shared" si="5"/>
        <v>2548.9753338843911</v>
      </c>
      <c r="K42" s="93">
        <f t="shared" si="6"/>
        <v>2574.4650872232351</v>
      </c>
      <c r="L42" s="93">
        <f t="shared" si="6"/>
        <v>2600.2097380954674</v>
      </c>
    </row>
    <row r="43" spans="1:12" x14ac:dyDescent="0.25">
      <c r="A43" s="25"/>
      <c r="B43" s="42">
        <f>+' Expense Input'!B19</f>
        <v>495</v>
      </c>
      <c r="C43" s="42">
        <f>+' Expense Input'!C19</f>
        <v>4000</v>
      </c>
      <c r="D43" s="42">
        <f>+' Expense Input'!D19</f>
        <v>5900</v>
      </c>
      <c r="E43" s="42">
        <f>+' Expense Input'!E19</f>
        <v>310</v>
      </c>
      <c r="F43" s="42" t="str">
        <f>+' Expense Input'!F19</f>
        <v>AWD Contracted Services</v>
      </c>
      <c r="G43" s="93">
        <f>+' Expense Input'!M19</f>
        <v>0</v>
      </c>
      <c r="H43" s="2" t="str">
        <f t="shared" si="0"/>
        <v/>
      </c>
      <c r="I43" s="93">
        <f t="shared" si="4"/>
        <v>0</v>
      </c>
      <c r="J43" s="93">
        <f t="shared" si="5"/>
        <v>0</v>
      </c>
      <c r="K43" s="93">
        <f t="shared" si="6"/>
        <v>0</v>
      </c>
      <c r="L43" s="93">
        <f t="shared" si="6"/>
        <v>0</v>
      </c>
    </row>
    <row r="44" spans="1:12" x14ac:dyDescent="0.25">
      <c r="A44" s="25"/>
      <c r="B44" s="42">
        <f>+' Expense Input'!B21</f>
        <v>495</v>
      </c>
      <c r="C44" s="42">
        <f>+' Expense Input'!C21</f>
        <v>4000</v>
      </c>
      <c r="D44" s="42">
        <f>+' Expense Input'!D21</f>
        <v>6130</v>
      </c>
      <c r="E44" s="42">
        <f>+' Expense Input'!E21</f>
        <v>310</v>
      </c>
      <c r="F44" s="42" t="str">
        <f>+' Expense Input'!F21</f>
        <v>AWD Health Services</v>
      </c>
      <c r="G44" s="93">
        <f>+' Expense Input'!M21</f>
        <v>0</v>
      </c>
      <c r="H44" s="2" t="str">
        <f t="shared" si="0"/>
        <v/>
      </c>
      <c r="I44" s="93">
        <f>400*(500-EnrNew)+351*40</f>
        <v>196648</v>
      </c>
      <c r="J44" s="93">
        <f>400*Inf*(550-500)+40*500*Inf</f>
        <v>40400</v>
      </c>
      <c r="K44" s="93">
        <f>550*40*Inf^2</f>
        <v>22442.2</v>
      </c>
      <c r="L44" s="93">
        <f>550*40*Inf^3</f>
        <v>22666.621999999999</v>
      </c>
    </row>
    <row r="45" spans="1:12" x14ac:dyDescent="0.25">
      <c r="A45" s="25"/>
      <c r="B45" s="42">
        <f>+' Expense Input'!B22</f>
        <v>100</v>
      </c>
      <c r="C45" s="42">
        <f>+' Expense Input'!C22</f>
        <v>4000</v>
      </c>
      <c r="D45" s="42">
        <f>+' Expense Input'!D22</f>
        <v>6300</v>
      </c>
      <c r="E45" s="42">
        <f>+' Expense Input'!E22</f>
        <v>590</v>
      </c>
      <c r="F45" s="42" t="str">
        <f>+' Expense Input'!F22</f>
        <v>Testing and Assessment</v>
      </c>
      <c r="G45" s="93">
        <f>+' Expense Input'!M22</f>
        <v>0</v>
      </c>
      <c r="H45" s="2" t="str">
        <f t="shared" si="0"/>
        <v/>
      </c>
      <c r="I45" s="93">
        <f>225*(500-EnrNew)+351*22.5</f>
        <v>110614.5</v>
      </c>
      <c r="J45" s="93">
        <f>225*Inf*(550-500)+22.5*500*Inf</f>
        <v>22725</v>
      </c>
      <c r="K45" s="93">
        <f>550*22.5*Inf^2</f>
        <v>12623.737499999999</v>
      </c>
      <c r="L45" s="93">
        <f>550*22.5*Inf^3</f>
        <v>12749.974874999998</v>
      </c>
    </row>
    <row r="46" spans="1:12" x14ac:dyDescent="0.25">
      <c r="A46" s="25"/>
      <c r="B46" s="42">
        <f>+' Expense Input'!B23</f>
        <v>100</v>
      </c>
      <c r="C46" s="42">
        <f>+' Expense Input'!C23</f>
        <v>4000</v>
      </c>
      <c r="D46" s="42">
        <f>+' Expense Input'!D23</f>
        <v>6400</v>
      </c>
      <c r="E46" s="42">
        <f>+' Expense Input'!E23</f>
        <v>310</v>
      </c>
      <c r="F46" s="42" t="str">
        <f>+' Expense Input'!F23</f>
        <v>Staff Development</v>
      </c>
      <c r="G46" s="93">
        <f>+' Expense Input'!M23</f>
        <v>6418.3169230769226</v>
      </c>
      <c r="H46" s="2" t="str">
        <f t="shared" si="0"/>
        <v>*</v>
      </c>
      <c r="I46" s="93">
        <f>+G46/EnrNew*500*Inf</f>
        <v>74545.769230769234</v>
      </c>
      <c r="J46" s="93">
        <f>+I46/500*550*Inf</f>
        <v>82820.349615384621</v>
      </c>
      <c r="K46" s="93">
        <f>+J46*Inf</f>
        <v>83648.553111538466</v>
      </c>
      <c r="L46" s="93">
        <f>+K46*Inf</f>
        <v>84485.038642653846</v>
      </c>
    </row>
    <row r="47" spans="1:12" hidden="1" x14ac:dyDescent="0.25">
      <c r="A47" s="25"/>
      <c r="B47" s="42"/>
      <c r="C47" s="42"/>
      <c r="D47" s="42"/>
      <c r="E47" s="42"/>
      <c r="F47" s="42"/>
      <c r="G47" s="93"/>
      <c r="H47" s="2" t="str">
        <f t="shared" si="0"/>
        <v/>
      </c>
      <c r="I47" s="93"/>
      <c r="J47" s="93"/>
      <c r="K47" s="93"/>
      <c r="L47" s="93"/>
    </row>
    <row r="48" spans="1:12" hidden="1" x14ac:dyDescent="0.25">
      <c r="A48" s="25"/>
      <c r="B48" s="42"/>
      <c r="C48" s="42"/>
      <c r="D48" s="42"/>
      <c r="E48" s="42"/>
      <c r="F48" s="42"/>
      <c r="G48" s="93"/>
      <c r="H48" s="2" t="str">
        <f t="shared" si="0"/>
        <v/>
      </c>
      <c r="I48" s="93"/>
      <c r="J48" s="93"/>
      <c r="K48" s="93"/>
      <c r="L48" s="93"/>
    </row>
    <row r="49" spans="1:12" x14ac:dyDescent="0.25">
      <c r="A49" s="25"/>
      <c r="B49" s="42"/>
      <c r="C49" s="42"/>
      <c r="D49" s="42"/>
      <c r="E49" s="42"/>
      <c r="F49" s="42"/>
      <c r="H49" s="2" t="str">
        <f>IF(H50="*","*","")</f>
        <v>*</v>
      </c>
    </row>
    <row r="50" spans="1:12" x14ac:dyDescent="0.25">
      <c r="A50" s="25"/>
      <c r="B50" s="15"/>
      <c r="C50" s="15"/>
      <c r="D50" s="15"/>
      <c r="E50" s="15"/>
      <c r="F50" s="21" t="s">
        <v>44</v>
      </c>
      <c r="G50" s="39">
        <f>SUM(G30:G49)</f>
        <v>375282.00293967436</v>
      </c>
      <c r="H50" s="2" t="str">
        <f t="shared" si="0"/>
        <v>*</v>
      </c>
      <c r="I50" s="39">
        <f>SUM(I30:I49)</f>
        <v>4665988.6150997123</v>
      </c>
      <c r="J50" s="39">
        <f>SUM(J30:J49)</f>
        <v>4905669.7138757817</v>
      </c>
      <c r="K50" s="39">
        <f>SUM(K30:K49)</f>
        <v>4926036.0985145383</v>
      </c>
      <c r="L50" s="39">
        <f>SUM(L30:L49)</f>
        <v>4975296.459499686</v>
      </c>
    </row>
    <row r="51" spans="1:12" x14ac:dyDescent="0.25">
      <c r="A51" s="25"/>
      <c r="B51" s="2"/>
      <c r="C51" s="2"/>
      <c r="D51" s="2"/>
      <c r="E51" s="2"/>
      <c r="F51" s="15"/>
      <c r="H51" s="2" t="str">
        <f>IF(H50="*","*","")</f>
        <v>*</v>
      </c>
    </row>
    <row r="52" spans="1:12" x14ac:dyDescent="0.25">
      <c r="A52" s="25"/>
      <c r="B52" s="42">
        <f>+' Expense Input'!B25</f>
        <v>100</v>
      </c>
      <c r="C52" s="42">
        <f>+' Expense Input'!C25</f>
        <v>4000</v>
      </c>
      <c r="D52" s="42">
        <f>+' Expense Input'!D25</f>
        <v>7100</v>
      </c>
      <c r="E52" s="42">
        <f>+' Expense Input'!E25</f>
        <v>310</v>
      </c>
      <c r="F52" s="42" t="str">
        <f>+' Expense Input'!F25</f>
        <v>Legal and Audit Expense</v>
      </c>
      <c r="G52" s="93">
        <f>+' Expense Input'!M25</f>
        <v>8080</v>
      </c>
      <c r="H52" s="2" t="str">
        <f t="shared" si="0"/>
        <v>*</v>
      </c>
      <c r="I52" s="93">
        <f>+G52/EnrNew*500*Inf</f>
        <v>93845.446182152707</v>
      </c>
      <c r="J52" s="93">
        <f>+I52/500*550*Inf</f>
        <v>104262.29070837167</v>
      </c>
      <c r="K52" s="93">
        <f>+J52*Inf</f>
        <v>105304.91361545539</v>
      </c>
      <c r="L52" s="93">
        <f>+K52*Inf</f>
        <v>106357.96275160994</v>
      </c>
    </row>
    <row r="53" spans="1:12" x14ac:dyDescent="0.25">
      <c r="A53" s="25"/>
      <c r="B53" s="42"/>
      <c r="C53" s="42"/>
      <c r="D53" s="42"/>
      <c r="E53" s="42"/>
      <c r="F53" s="42"/>
      <c r="G53" s="43"/>
      <c r="H53" s="2" t="str">
        <f>IF(H54="*","*","")</f>
        <v>*</v>
      </c>
      <c r="I53" s="43"/>
      <c r="J53" s="43"/>
      <c r="K53" s="43"/>
      <c r="L53" s="43"/>
    </row>
    <row r="54" spans="1:12" x14ac:dyDescent="0.25">
      <c r="A54" s="25"/>
      <c r="F54" s="21" t="s">
        <v>45</v>
      </c>
      <c r="G54" s="39">
        <f>SUM(G52:G53)</f>
        <v>8080</v>
      </c>
      <c r="H54" s="2" t="str">
        <f t="shared" si="0"/>
        <v>*</v>
      </c>
      <c r="I54" s="39">
        <f>SUM(I52:I53)</f>
        <v>93845.446182152707</v>
      </c>
      <c r="J54" s="39">
        <f>SUM(J52:J53)</f>
        <v>104262.29070837167</v>
      </c>
      <c r="K54" s="39">
        <f>SUM(K52:K53)</f>
        <v>105304.91361545539</v>
      </c>
      <c r="L54" s="39">
        <f>SUM(L52:L53)</f>
        <v>106357.96275160994</v>
      </c>
    </row>
    <row r="55" spans="1:12" x14ac:dyDescent="0.25">
      <c r="A55" s="25"/>
      <c r="B55" s="2"/>
      <c r="C55" s="2"/>
      <c r="D55" s="2"/>
      <c r="E55" s="2"/>
      <c r="F55" s="15"/>
      <c r="H55" s="2" t="str">
        <f>IF(H54="*","*","")</f>
        <v>*</v>
      </c>
    </row>
    <row r="56" spans="1:12" hidden="1" x14ac:dyDescent="0.25">
      <c r="A56" s="25">
        <v>1</v>
      </c>
      <c r="B56" s="42">
        <v>100</v>
      </c>
      <c r="C56" s="42">
        <v>4000</v>
      </c>
      <c r="D56" s="42">
        <v>6100</v>
      </c>
      <c r="E56" s="42">
        <v>130</v>
      </c>
      <c r="F56" s="42" t="s">
        <v>7</v>
      </c>
      <c r="G56" s="29">
        <f>SUM(Payroll!E$51)</f>
        <v>0</v>
      </c>
      <c r="H56" s="2" t="str">
        <f t="shared" si="0"/>
        <v/>
      </c>
    </row>
    <row r="57" spans="1:12" hidden="1" x14ac:dyDescent="0.25">
      <c r="A57" s="25">
        <v>1</v>
      </c>
      <c r="B57" s="42">
        <v>100</v>
      </c>
      <c r="C57" s="42">
        <v>4000</v>
      </c>
      <c r="D57" s="42">
        <v>6100</v>
      </c>
      <c r="E57" s="42">
        <v>210</v>
      </c>
      <c r="F57" s="42" t="s">
        <v>73</v>
      </c>
      <c r="G57" s="29">
        <f>SUM(Payroll!F$51)</f>
        <v>0</v>
      </c>
      <c r="H57" s="2" t="str">
        <f t="shared" si="0"/>
        <v/>
      </c>
    </row>
    <row r="58" spans="1:12" hidden="1" x14ac:dyDescent="0.25">
      <c r="A58" s="25">
        <v>1</v>
      </c>
      <c r="B58" s="42">
        <v>100</v>
      </c>
      <c r="C58" s="42">
        <v>4000</v>
      </c>
      <c r="D58" s="42">
        <v>6100</v>
      </c>
      <c r="E58" s="42">
        <v>220</v>
      </c>
      <c r="F58" s="42" t="s">
        <v>74</v>
      </c>
      <c r="G58" s="29">
        <f>SUM(Payroll!H$51)</f>
        <v>0</v>
      </c>
      <c r="H58" s="2" t="str">
        <f t="shared" si="0"/>
        <v/>
      </c>
    </row>
    <row r="59" spans="1:12" hidden="1" x14ac:dyDescent="0.25">
      <c r="A59" s="25">
        <v>1</v>
      </c>
      <c r="B59" s="42">
        <v>100</v>
      </c>
      <c r="C59" s="42">
        <v>4000</v>
      </c>
      <c r="D59" s="42">
        <v>6100</v>
      </c>
      <c r="E59" s="42">
        <v>230</v>
      </c>
      <c r="F59" s="42" t="s">
        <v>75</v>
      </c>
      <c r="G59" s="29">
        <f>SUM(Payroll!I$51)</f>
        <v>0</v>
      </c>
      <c r="H59" s="2" t="str">
        <f t="shared" si="0"/>
        <v/>
      </c>
    </row>
    <row r="60" spans="1:12" hidden="1" x14ac:dyDescent="0.25">
      <c r="A60" s="25">
        <v>1</v>
      </c>
      <c r="B60" s="42">
        <v>100</v>
      </c>
      <c r="C60" s="42">
        <v>4000</v>
      </c>
      <c r="D60" s="42">
        <v>6100</v>
      </c>
      <c r="E60" s="42">
        <v>240</v>
      </c>
      <c r="F60" s="42" t="s">
        <v>76</v>
      </c>
      <c r="G60" s="29">
        <f>SUM(Payroll!K$51)</f>
        <v>0</v>
      </c>
      <c r="H60" s="2" t="str">
        <f t="shared" si="0"/>
        <v/>
      </c>
    </row>
    <row r="61" spans="1:12" hidden="1" x14ac:dyDescent="0.25">
      <c r="A61" s="25">
        <v>1</v>
      </c>
      <c r="B61" s="42">
        <v>100</v>
      </c>
      <c r="C61" s="42">
        <v>4000</v>
      </c>
      <c r="D61" s="42">
        <v>6100</v>
      </c>
      <c r="E61" s="42">
        <v>250</v>
      </c>
      <c r="F61" s="42" t="s">
        <v>77</v>
      </c>
      <c r="G61" s="29">
        <f>SUM(Payroll!L$51)</f>
        <v>0</v>
      </c>
      <c r="H61" s="2" t="str">
        <f t="shared" si="0"/>
        <v/>
      </c>
    </row>
    <row r="62" spans="1:12" hidden="1" x14ac:dyDescent="0.25">
      <c r="A62" s="25"/>
      <c r="B62" s="42"/>
      <c r="C62" s="42"/>
      <c r="D62" s="42"/>
      <c r="E62" s="42"/>
      <c r="F62" s="42"/>
      <c r="G62" s="43"/>
      <c r="H62" s="2" t="str">
        <f t="shared" si="0"/>
        <v/>
      </c>
      <c r="I62" s="43"/>
      <c r="J62" s="43"/>
      <c r="K62" s="43"/>
      <c r="L62" s="43"/>
    </row>
    <row r="63" spans="1:12" hidden="1" x14ac:dyDescent="0.25">
      <c r="A63" s="25"/>
      <c r="B63" s="42"/>
      <c r="C63" s="42"/>
      <c r="D63" s="42"/>
      <c r="E63" s="42"/>
      <c r="F63" s="42"/>
      <c r="H63" s="2" t="str">
        <f>IF(H64="*","*","")</f>
        <v/>
      </c>
    </row>
    <row r="64" spans="1:12" hidden="1" x14ac:dyDescent="0.25">
      <c r="A64" s="25"/>
      <c r="F64" s="21" t="s">
        <v>46</v>
      </c>
      <c r="G64" s="39">
        <f>SUM(G56:G63)</f>
        <v>0</v>
      </c>
      <c r="H64" s="2" t="str">
        <f t="shared" si="0"/>
        <v/>
      </c>
      <c r="I64" s="39"/>
      <c r="J64" s="39"/>
      <c r="K64" s="39"/>
      <c r="L64" s="39"/>
    </row>
    <row r="65" spans="1:12" hidden="1" x14ac:dyDescent="0.25">
      <c r="A65" s="25"/>
      <c r="B65" s="2"/>
      <c r="C65" s="2"/>
      <c r="D65" s="2"/>
      <c r="E65" s="2"/>
      <c r="F65" s="16"/>
      <c r="H65" s="2" t="str">
        <f>IF(H64="*","*","")</f>
        <v/>
      </c>
    </row>
    <row r="66" spans="1:12" hidden="1" x14ac:dyDescent="0.25">
      <c r="A66" s="25">
        <v>1</v>
      </c>
      <c r="B66" s="42">
        <v>100</v>
      </c>
      <c r="C66" s="42">
        <v>4000</v>
      </c>
      <c r="D66" s="42">
        <v>6200</v>
      </c>
      <c r="E66" s="42">
        <v>130</v>
      </c>
      <c r="F66" s="42" t="s">
        <v>91</v>
      </c>
      <c r="G66" s="29">
        <v>0</v>
      </c>
      <c r="H66" s="2" t="str">
        <f t="shared" si="0"/>
        <v/>
      </c>
    </row>
    <row r="67" spans="1:12" hidden="1" x14ac:dyDescent="0.25">
      <c r="A67" s="25">
        <v>1</v>
      </c>
      <c r="B67" s="42">
        <v>100</v>
      </c>
      <c r="C67" s="42">
        <v>4000</v>
      </c>
      <c r="D67" s="42">
        <v>6200</v>
      </c>
      <c r="E67" s="42">
        <v>210</v>
      </c>
      <c r="F67" s="42" t="s">
        <v>73</v>
      </c>
      <c r="G67" s="29">
        <v>0</v>
      </c>
      <c r="H67" s="2" t="str">
        <f t="shared" si="0"/>
        <v/>
      </c>
    </row>
    <row r="68" spans="1:12" hidden="1" x14ac:dyDescent="0.25">
      <c r="A68" s="25">
        <v>1</v>
      </c>
      <c r="B68" s="42">
        <v>100</v>
      </c>
      <c r="C68" s="42">
        <v>4000</v>
      </c>
      <c r="D68" s="42">
        <v>6200</v>
      </c>
      <c r="E68" s="42">
        <v>220</v>
      </c>
      <c r="F68" s="42" t="s">
        <v>74</v>
      </c>
      <c r="G68" s="29">
        <v>0</v>
      </c>
      <c r="H68" s="2" t="str">
        <f t="shared" si="0"/>
        <v/>
      </c>
    </row>
    <row r="69" spans="1:12" hidden="1" x14ac:dyDescent="0.25">
      <c r="A69" s="25">
        <v>1</v>
      </c>
      <c r="B69" s="42">
        <v>100</v>
      </c>
      <c r="C69" s="42">
        <v>4000</v>
      </c>
      <c r="D69" s="42">
        <v>6200</v>
      </c>
      <c r="E69" s="42">
        <v>230</v>
      </c>
      <c r="F69" s="42" t="s">
        <v>75</v>
      </c>
      <c r="G69" s="29">
        <v>0</v>
      </c>
      <c r="H69" s="2" t="str">
        <f t="shared" si="0"/>
        <v/>
      </c>
    </row>
    <row r="70" spans="1:12" ht="12" hidden="1" customHeight="1" x14ac:dyDescent="0.25">
      <c r="A70" s="25">
        <v>1</v>
      </c>
      <c r="B70" s="42">
        <v>100</v>
      </c>
      <c r="C70" s="42">
        <v>4000</v>
      </c>
      <c r="D70" s="42">
        <v>6200</v>
      </c>
      <c r="E70" s="42">
        <v>240</v>
      </c>
      <c r="F70" s="42" t="s">
        <v>76</v>
      </c>
      <c r="G70" s="29">
        <v>0</v>
      </c>
      <c r="H70" s="2" t="str">
        <f t="shared" si="0"/>
        <v/>
      </c>
    </row>
    <row r="71" spans="1:12" hidden="1" x14ac:dyDescent="0.25">
      <c r="A71" s="25">
        <v>1</v>
      </c>
      <c r="B71" s="42">
        <v>100</v>
      </c>
      <c r="C71" s="42">
        <v>4000</v>
      </c>
      <c r="D71" s="42">
        <v>6200</v>
      </c>
      <c r="E71" s="42">
        <v>250</v>
      </c>
      <c r="F71" s="42" t="s">
        <v>77</v>
      </c>
      <c r="G71" s="29">
        <v>0</v>
      </c>
      <c r="H71" s="2" t="str">
        <f t="shared" si="0"/>
        <v/>
      </c>
    </row>
    <row r="72" spans="1:12" hidden="1" x14ac:dyDescent="0.25">
      <c r="A72" s="25"/>
      <c r="B72" s="42"/>
      <c r="C72" s="42"/>
      <c r="D72" s="42"/>
      <c r="E72" s="42"/>
      <c r="F72" s="42"/>
      <c r="H72" s="2" t="str">
        <f>IF(H73="*","*","")</f>
        <v/>
      </c>
    </row>
    <row r="73" spans="1:12" hidden="1" x14ac:dyDescent="0.25">
      <c r="A73" s="25"/>
      <c r="F73" s="21" t="s">
        <v>47</v>
      </c>
      <c r="G73" s="39">
        <f>SUM(G66:G72)</f>
        <v>0</v>
      </c>
      <c r="H73" s="2" t="str">
        <f t="shared" si="0"/>
        <v/>
      </c>
      <c r="I73" s="39"/>
      <c r="J73" s="39"/>
      <c r="K73" s="39"/>
      <c r="L73" s="39"/>
    </row>
    <row r="74" spans="1:12" hidden="1" x14ac:dyDescent="0.25">
      <c r="A74" s="25"/>
      <c r="B74" s="2"/>
      <c r="C74" s="2"/>
      <c r="D74" s="2"/>
      <c r="E74" s="2"/>
      <c r="F74" s="16"/>
      <c r="H74" s="2" t="str">
        <f>IF(H73="*","*","")</f>
        <v/>
      </c>
    </row>
    <row r="75" spans="1:12" x14ac:dyDescent="0.25">
      <c r="A75" s="25"/>
      <c r="B75" s="2">
        <f>+' Expense Input'!B27</f>
        <v>100</v>
      </c>
      <c r="C75" s="2">
        <f>+' Expense Input'!C27</f>
        <v>4000</v>
      </c>
      <c r="D75" s="2">
        <f>+' Expense Input'!D27</f>
        <v>7100</v>
      </c>
      <c r="E75" s="2">
        <f>+' Expense Input'!E27</f>
        <v>730</v>
      </c>
      <c r="F75" s="2" t="str">
        <f>+' Expense Input'!F27</f>
        <v>Dues and Fees</v>
      </c>
      <c r="G75" s="12">
        <f>+' Expense Input'!M27</f>
        <v>22102.819800000005</v>
      </c>
      <c r="H75" s="2" t="str">
        <f t="shared" si="0"/>
        <v>*</v>
      </c>
      <c r="I75" s="93">
        <f>+G75/EnrNew*500*Inf</f>
        <v>256713.98341766337</v>
      </c>
      <c r="J75" s="93">
        <f>+I75/500*550*Inf</f>
        <v>285209.235577024</v>
      </c>
      <c r="K75" s="93">
        <f>+J75*Inf</f>
        <v>288061.32793279423</v>
      </c>
      <c r="L75" s="93">
        <f>+K75*Inf</f>
        <v>290941.94121212215</v>
      </c>
    </row>
    <row r="76" spans="1:12" x14ac:dyDescent="0.25">
      <c r="A76" s="25"/>
      <c r="B76" s="2"/>
      <c r="C76" s="2"/>
      <c r="D76" s="2"/>
      <c r="E76" s="2"/>
      <c r="F76" s="85"/>
      <c r="G76" s="43"/>
      <c r="H76" s="2" t="str">
        <f>IF(H77="*","*","")</f>
        <v>*</v>
      </c>
      <c r="I76" s="43"/>
      <c r="J76" s="43"/>
      <c r="K76" s="43"/>
      <c r="L76" s="43"/>
    </row>
    <row r="77" spans="1:12" x14ac:dyDescent="0.25">
      <c r="A77" s="25"/>
      <c r="F77" s="21" t="s">
        <v>48</v>
      </c>
      <c r="G77" s="39">
        <f>SUM(G75:G76)</f>
        <v>22102.819800000005</v>
      </c>
      <c r="H77" s="2" t="str">
        <f t="shared" si="0"/>
        <v>*</v>
      </c>
      <c r="I77" s="39">
        <f>SUM(I75:I76)</f>
        <v>256713.98341766337</v>
      </c>
      <c r="J77" s="39">
        <f>SUM(J75:J76)</f>
        <v>285209.235577024</v>
      </c>
      <c r="K77" s="39">
        <f>SUM(K75:K76)</f>
        <v>288061.32793279423</v>
      </c>
      <c r="L77" s="39">
        <f>SUM(L75:L76)</f>
        <v>290941.94121212215</v>
      </c>
    </row>
    <row r="78" spans="1:12" x14ac:dyDescent="0.25">
      <c r="A78" s="25"/>
      <c r="F78" s="21"/>
      <c r="G78" s="41"/>
      <c r="H78" s="2" t="str">
        <f>IF(H77="*","*","")</f>
        <v>*</v>
      </c>
      <c r="I78" s="41"/>
      <c r="J78" s="41"/>
      <c r="K78" s="41"/>
      <c r="L78" s="41"/>
    </row>
    <row r="79" spans="1:12" ht="12" customHeight="1" x14ac:dyDescent="0.25">
      <c r="A79" s="25"/>
      <c r="B79" s="42">
        <f>+' Expense Input'!B29</f>
        <v>100</v>
      </c>
      <c r="C79" s="42">
        <f>+' Expense Input'!C29</f>
        <v>4000</v>
      </c>
      <c r="D79" s="42">
        <f>+' Expense Input'!D29</f>
        <v>7100</v>
      </c>
      <c r="E79" s="42">
        <f>+' Expense Input'!E29</f>
        <v>795</v>
      </c>
      <c r="F79" s="42" t="str">
        <f>+' Expense Input'!F29</f>
        <v>Bank Charges</v>
      </c>
      <c r="G79" s="93">
        <f>+' Expense Input'!M29</f>
        <v>269.16500000000002</v>
      </c>
      <c r="H79" s="2" t="str">
        <f t="shared" ref="H79:H140" si="7">IF(G79&gt;0.49,"*","")</f>
        <v>*</v>
      </c>
      <c r="I79" s="93">
        <f>+G79/EnrNew*500*Inf</f>
        <v>3126.2264259429626</v>
      </c>
      <c r="J79" s="93">
        <f>+I79/500*550*Inf</f>
        <v>3473.2375592226317</v>
      </c>
      <c r="K79" s="93">
        <f>+J79*Inf</f>
        <v>3507.9699348148579</v>
      </c>
      <c r="L79" s="93">
        <f>+K79*Inf</f>
        <v>3543.0496341630064</v>
      </c>
    </row>
    <row r="80" spans="1:12" ht="12" customHeight="1" x14ac:dyDescent="0.25">
      <c r="A80" s="25"/>
      <c r="B80" s="42"/>
      <c r="C80" s="42"/>
      <c r="D80" s="42"/>
      <c r="E80" s="42"/>
      <c r="F80" s="42"/>
      <c r="G80" s="43"/>
      <c r="H80" s="2" t="str">
        <f>IF(H81="*","*","")</f>
        <v>*</v>
      </c>
      <c r="I80" s="43"/>
      <c r="J80" s="43"/>
      <c r="K80" s="43"/>
      <c r="L80" s="43"/>
    </row>
    <row r="81" spans="1:12" x14ac:dyDescent="0.25">
      <c r="A81" s="25"/>
      <c r="F81" s="21" t="s">
        <v>49</v>
      </c>
      <c r="G81" s="39">
        <f>SUM(G79:G79)</f>
        <v>269.16500000000002</v>
      </c>
      <c r="H81" s="2" t="str">
        <f>IF(G81&gt;0.49,"*","")</f>
        <v>*</v>
      </c>
      <c r="I81" s="39">
        <f>SUM(I79:I79)</f>
        <v>3126.2264259429626</v>
      </c>
      <c r="J81" s="39">
        <f>SUM(J79:J79)</f>
        <v>3473.2375592226317</v>
      </c>
      <c r="K81" s="39">
        <f>SUM(K79:K79)</f>
        <v>3507.9699348148579</v>
      </c>
      <c r="L81" s="39">
        <f>SUM(L79:L79)</f>
        <v>3543.0496341630064</v>
      </c>
    </row>
    <row r="82" spans="1:12" x14ac:dyDescent="0.25">
      <c r="A82" s="25"/>
      <c r="F82" s="5"/>
      <c r="H82" s="2" t="str">
        <f>IF(H81="*","*","")</f>
        <v>*</v>
      </c>
    </row>
    <row r="83" spans="1:12" x14ac:dyDescent="0.25">
      <c r="A83" s="25"/>
      <c r="B83" s="42">
        <f>' Expense Input'!B30</f>
        <v>100</v>
      </c>
      <c r="C83" s="42">
        <f>' Expense Input'!C30</f>
        <v>4000</v>
      </c>
      <c r="D83" s="42">
        <f>' Expense Input'!D30</f>
        <v>7300</v>
      </c>
      <c r="E83" s="42">
        <f>' Expense Input'!E30</f>
        <v>310</v>
      </c>
      <c r="F83" s="42" t="str">
        <f>' Expense Input'!F30</f>
        <v>Contracted Services</v>
      </c>
      <c r="G83" s="93">
        <f>' Expense Input'!M30</f>
        <v>0</v>
      </c>
      <c r="H83" s="2" t="str">
        <f t="shared" si="7"/>
        <v/>
      </c>
      <c r="I83" s="93">
        <f>+G83*Inf</f>
        <v>0</v>
      </c>
      <c r="J83" s="93">
        <f>+I83*Inf</f>
        <v>0</v>
      </c>
      <c r="K83" s="93">
        <f>+J83*Inf</f>
        <v>0</v>
      </c>
      <c r="L83" s="93">
        <f>+K83*Inf</f>
        <v>0</v>
      </c>
    </row>
    <row r="84" spans="1:12" x14ac:dyDescent="0.25">
      <c r="A84" s="25"/>
      <c r="B84" s="42">
        <f>' Expense Input'!B31</f>
        <v>100</v>
      </c>
      <c r="C84" s="42">
        <f>' Expense Input'!C31</f>
        <v>4000</v>
      </c>
      <c r="D84" s="42">
        <f>' Expense Input'!D31</f>
        <v>7300</v>
      </c>
      <c r="E84" s="42">
        <f>' Expense Input'!E31</f>
        <v>320</v>
      </c>
      <c r="F84" s="42" t="str">
        <f>' Expense Input'!F31</f>
        <v>Insurance</v>
      </c>
      <c r="G84" s="93">
        <f>' Expense Input'!M31</f>
        <v>3171.4101000000001</v>
      </c>
      <c r="H84" s="2" t="str">
        <f t="shared" si="7"/>
        <v>*</v>
      </c>
      <c r="I84" s="93">
        <f>+G84</f>
        <v>3171.4101000000001</v>
      </c>
      <c r="J84" s="93">
        <f>+I84</f>
        <v>3171.4101000000001</v>
      </c>
      <c r="K84" s="93">
        <f>+J84</f>
        <v>3171.4101000000001</v>
      </c>
      <c r="L84" s="93">
        <f>+K84</f>
        <v>3171.4101000000001</v>
      </c>
    </row>
    <row r="85" spans="1:12" x14ac:dyDescent="0.25">
      <c r="A85" s="25"/>
      <c r="B85" s="42">
        <f>' Expense Input'!B32</f>
        <v>100</v>
      </c>
      <c r="C85" s="42">
        <f>' Expense Input'!C32</f>
        <v>4000</v>
      </c>
      <c r="D85" s="42">
        <f>' Expense Input'!D32</f>
        <v>7300</v>
      </c>
      <c r="E85" s="42">
        <f>' Expense Input'!E32</f>
        <v>330</v>
      </c>
      <c r="F85" s="42" t="str">
        <f>' Expense Input'!F32</f>
        <v>Travel / Conferences / Workshops</v>
      </c>
      <c r="G85" s="93">
        <f>' Expense Input'!M32</f>
        <v>7181.1</v>
      </c>
      <c r="H85" s="2" t="str">
        <f t="shared" si="7"/>
        <v>*</v>
      </c>
      <c r="I85" s="93">
        <f>+G85/EnrNew*500*Inf</f>
        <v>83405.140294388228</v>
      </c>
      <c r="J85" s="93">
        <f>+I85/500*550*Inf</f>
        <v>92663.110867065319</v>
      </c>
      <c r="K85" s="93">
        <f t="shared" ref="K85:L87" si="8">+J85*Inf</f>
        <v>93589.741975735975</v>
      </c>
      <c r="L85" s="93">
        <f t="shared" si="8"/>
        <v>94525.63939549333</v>
      </c>
    </row>
    <row r="86" spans="1:12" x14ac:dyDescent="0.25">
      <c r="A86" s="25"/>
      <c r="B86" s="42">
        <f>' Expense Input'!B35</f>
        <v>100</v>
      </c>
      <c r="C86" s="42">
        <f>' Expense Input'!C35</f>
        <v>4000</v>
      </c>
      <c r="D86" s="42">
        <f>' Expense Input'!D35</f>
        <v>7300</v>
      </c>
      <c r="E86" s="42">
        <f>' Expense Input'!E35</f>
        <v>510</v>
      </c>
      <c r="F86" s="42" t="str">
        <f>' Expense Input'!F35</f>
        <v>Office Expense</v>
      </c>
      <c r="G86" s="93">
        <f>' Expense Input'!M35</f>
        <v>4777.0778000000009</v>
      </c>
      <c r="H86" s="2" t="str">
        <f t="shared" si="7"/>
        <v>*</v>
      </c>
      <c r="I86" s="93">
        <f>+G86/EnrNew*500*Inf</f>
        <v>55483.539305427796</v>
      </c>
      <c r="J86" s="93">
        <f>+I86/500*550*Inf</f>
        <v>61642.212168330283</v>
      </c>
      <c r="K86" s="93">
        <f t="shared" si="8"/>
        <v>62258.634290013586</v>
      </c>
      <c r="L86" s="93">
        <f t="shared" si="8"/>
        <v>62881.220632913719</v>
      </c>
    </row>
    <row r="87" spans="1:12" x14ac:dyDescent="0.25">
      <c r="A87" s="25"/>
      <c r="B87" s="42">
        <f>' Expense Input'!B36</f>
        <v>100</v>
      </c>
      <c r="C87" s="42">
        <f>' Expense Input'!C36</f>
        <v>4000</v>
      </c>
      <c r="D87" s="42">
        <f>' Expense Input'!D36</f>
        <v>7400</v>
      </c>
      <c r="E87" s="42">
        <f>' Expense Input'!E36</f>
        <v>360</v>
      </c>
      <c r="F87" s="42" t="str">
        <f>' Expense Input'!F36</f>
        <v>Facility Lease</v>
      </c>
      <c r="G87" s="93">
        <f>' Expense Input'!M36</f>
        <v>21000</v>
      </c>
      <c r="H87" s="2" t="str">
        <f t="shared" si="7"/>
        <v>*</v>
      </c>
      <c r="I87" s="93">
        <f>+G87/EnrNew*500*Inf</f>
        <v>243905.24379024841</v>
      </c>
      <c r="J87" s="93">
        <f>+I87/500*550*Inf</f>
        <v>270978.725850966</v>
      </c>
      <c r="K87" s="93">
        <f t="shared" si="8"/>
        <v>273688.51310947567</v>
      </c>
      <c r="L87" s="93">
        <f t="shared" si="8"/>
        <v>276425.39824057044</v>
      </c>
    </row>
    <row r="88" spans="1:12" x14ac:dyDescent="0.25">
      <c r="A88" s="25"/>
      <c r="B88" s="42">
        <f>' Expense Input'!B38</f>
        <v>100</v>
      </c>
      <c r="C88" s="42">
        <f>' Expense Input'!C38</f>
        <v>4000</v>
      </c>
      <c r="D88" s="42">
        <f>' Expense Input'!D38</f>
        <v>7500</v>
      </c>
      <c r="E88" s="42">
        <f>' Expense Input'!E38</f>
        <v>310</v>
      </c>
      <c r="F88" s="42" t="str">
        <f>' Expense Input'!F38</f>
        <v>Contract Controller Service</v>
      </c>
      <c r="G88" s="93">
        <f>' Expense Input'!M38</f>
        <v>22793.992630679262</v>
      </c>
      <c r="H88" s="2" t="str">
        <f t="shared" si="7"/>
        <v>*</v>
      </c>
      <c r="I88" s="93">
        <f>0.05*I11</f>
        <v>0</v>
      </c>
      <c r="J88" s="93">
        <f>0.05*J11*500/550</f>
        <v>0</v>
      </c>
      <c r="K88" s="93">
        <f>0.05*K11*500/550</f>
        <v>0</v>
      </c>
      <c r="L88" s="93">
        <f>0.05*L11*500/550</f>
        <v>0</v>
      </c>
    </row>
    <row r="89" spans="1:12" x14ac:dyDescent="0.25">
      <c r="A89" s="25"/>
      <c r="B89" s="42">
        <f>' Expense Input'!B39</f>
        <v>100</v>
      </c>
      <c r="C89" s="42">
        <f>' Expense Input'!C39</f>
        <v>4000</v>
      </c>
      <c r="D89" s="42">
        <f>' Expense Input'!D39</f>
        <v>7500</v>
      </c>
      <c r="E89" s="42">
        <f>' Expense Input'!E39</f>
        <v>311</v>
      </c>
      <c r="F89" s="42" t="str">
        <f>' Expense Input'!F39</f>
        <v>Payroll Service</v>
      </c>
      <c r="G89" s="93">
        <f>' Expense Input'!M39</f>
        <v>4867.72741268556</v>
      </c>
      <c r="H89" s="2" t="str">
        <f t="shared" si="7"/>
        <v>*</v>
      </c>
      <c r="I89" s="93">
        <f>+G89/EnrNew*500*Inf</f>
        <v>56536.392442645083</v>
      </c>
      <c r="J89" s="93">
        <f>+I89/500*550*Inf</f>
        <v>62811.932003778689</v>
      </c>
      <c r="K89" s="93">
        <f>+J89*Inf</f>
        <v>63440.051323816479</v>
      </c>
      <c r="L89" s="93">
        <f>+K89*Inf</f>
        <v>64074.451837054643</v>
      </c>
    </row>
    <row r="90" spans="1:12" x14ac:dyDescent="0.25">
      <c r="A90" s="25"/>
      <c r="B90" s="42" t="e">
        <f>' Expense Input'!#REF!</f>
        <v>#REF!</v>
      </c>
      <c r="C90" s="42" t="e">
        <f>' Expense Input'!#REF!</f>
        <v>#REF!</v>
      </c>
      <c r="D90" s="42" t="e">
        <f>' Expense Input'!#REF!</f>
        <v>#REF!</v>
      </c>
      <c r="E90" s="42" t="e">
        <f>' Expense Input'!#REF!</f>
        <v>#REF!</v>
      </c>
      <c r="F90" s="42" t="e">
        <f>' Expense Input'!#REF!</f>
        <v>#REF!</v>
      </c>
      <c r="G90" s="93" t="e">
        <f>' Expense Input'!#REF!</f>
        <v>#REF!</v>
      </c>
      <c r="H90" s="2" t="e">
        <f t="shared" si="7"/>
        <v>#REF!</v>
      </c>
      <c r="I90" s="93" t="e">
        <f>+G90/EnrNew*500*Inf</f>
        <v>#REF!</v>
      </c>
      <c r="J90" s="93" t="e">
        <f>+I90/500*550*Inf</f>
        <v>#REF!</v>
      </c>
      <c r="K90" s="93" t="e">
        <f>+J90*Inf</f>
        <v>#REF!</v>
      </c>
      <c r="L90" s="93" t="e">
        <f>+K90*Inf</f>
        <v>#REF!</v>
      </c>
    </row>
    <row r="91" spans="1:12" x14ac:dyDescent="0.25">
      <c r="A91" s="25"/>
      <c r="B91" s="42">
        <f>' Expense Input'!B40</f>
        <v>100</v>
      </c>
      <c r="C91" s="42">
        <f>' Expense Input'!C40</f>
        <v>4000</v>
      </c>
      <c r="D91" s="42">
        <f>' Expense Input'!D40</f>
        <v>7800</v>
      </c>
      <c r="E91" s="42">
        <f>' Expense Input'!E40</f>
        <v>350</v>
      </c>
      <c r="F91" s="42" t="str">
        <f>' Expense Input'!F40</f>
        <v>Transportation - Contracted Services</v>
      </c>
      <c r="G91" s="93">
        <f>' Expense Input'!M40</f>
        <v>89063.797501034613</v>
      </c>
      <c r="H91" s="2" t="str">
        <f t="shared" si="7"/>
        <v>*</v>
      </c>
      <c r="I91" s="93">
        <f>+G91</f>
        <v>89063.797501034613</v>
      </c>
      <c r="J91" s="93">
        <f>+I91</f>
        <v>89063.797501034613</v>
      </c>
      <c r="K91" s="93">
        <f>+J91</f>
        <v>89063.797501034613</v>
      </c>
      <c r="L91" s="93">
        <f>+K91</f>
        <v>89063.797501034613</v>
      </c>
    </row>
    <row r="92" spans="1:12" hidden="1" x14ac:dyDescent="0.25">
      <c r="A92" s="25"/>
      <c r="B92" s="42"/>
      <c r="C92" s="42"/>
      <c r="D92" s="42"/>
      <c r="E92" s="42"/>
      <c r="F92" s="42"/>
      <c r="G92" s="93"/>
      <c r="H92" s="2" t="str">
        <f t="shared" si="7"/>
        <v/>
      </c>
      <c r="I92" s="93"/>
      <c r="J92" s="93"/>
      <c r="K92" s="93"/>
      <c r="L92" s="93"/>
    </row>
    <row r="93" spans="1:12" x14ac:dyDescent="0.25">
      <c r="A93" s="25"/>
      <c r="B93" s="42"/>
      <c r="C93" s="42"/>
      <c r="D93" s="42"/>
      <c r="E93" s="42"/>
      <c r="F93" s="42"/>
      <c r="G93" s="43"/>
      <c r="H93" s="2" t="e">
        <f>IF(H94="*","*","")</f>
        <v>#REF!</v>
      </c>
      <c r="I93" s="43"/>
      <c r="J93" s="43"/>
      <c r="K93" s="43"/>
      <c r="L93" s="43"/>
    </row>
    <row r="94" spans="1:12" x14ac:dyDescent="0.25">
      <c r="A94" s="25"/>
      <c r="F94" s="21" t="s">
        <v>61</v>
      </c>
      <c r="G94" s="39" t="e">
        <f>SUM(G83:G93)</f>
        <v>#REF!</v>
      </c>
      <c r="H94" s="2" t="e">
        <f>IF(G94&gt;0.49,"*","")</f>
        <v>#REF!</v>
      </c>
      <c r="I94" s="39" t="e">
        <f>SUM(I83:I93)</f>
        <v>#REF!</v>
      </c>
      <c r="J94" s="39" t="e">
        <f>SUM(J83:J93)</f>
        <v>#REF!</v>
      </c>
      <c r="K94" s="39" t="e">
        <f>SUM(K83:K93)</f>
        <v>#REF!</v>
      </c>
      <c r="L94" s="39" t="e">
        <f>SUM(L83:L93)</f>
        <v>#REF!</v>
      </c>
    </row>
    <row r="95" spans="1:12" x14ac:dyDescent="0.25">
      <c r="A95" s="25"/>
      <c r="B95" s="17"/>
      <c r="C95" s="17"/>
      <c r="D95" s="17"/>
      <c r="E95" s="17"/>
      <c r="F95" s="16"/>
      <c r="H95" s="2" t="e">
        <f>IF(H94="*","*","")</f>
        <v>#REF!</v>
      </c>
    </row>
    <row r="96" spans="1:12" x14ac:dyDescent="0.25">
      <c r="A96" s="25">
        <v>1</v>
      </c>
      <c r="B96" s="42">
        <v>100</v>
      </c>
      <c r="C96" s="42">
        <v>4000</v>
      </c>
      <c r="D96" s="42">
        <v>7300</v>
      </c>
      <c r="E96" s="42">
        <v>110</v>
      </c>
      <c r="F96" s="42" t="s">
        <v>194</v>
      </c>
      <c r="G96" s="29">
        <f>+Payroll!E109</f>
        <v>0</v>
      </c>
      <c r="H96" s="2" t="str">
        <f t="shared" si="7"/>
        <v/>
      </c>
      <c r="I96" s="29">
        <f t="shared" ref="I96:I102" si="9">+G96*Inf*1.5</f>
        <v>0</v>
      </c>
      <c r="J96" s="29">
        <f t="shared" ref="J96:L107" si="10">+I96*Inf</f>
        <v>0</v>
      </c>
      <c r="K96" s="29">
        <f t="shared" si="10"/>
        <v>0</v>
      </c>
      <c r="L96" s="29">
        <f t="shared" si="10"/>
        <v>0</v>
      </c>
    </row>
    <row r="97" spans="1:12" x14ac:dyDescent="0.25">
      <c r="A97" s="25">
        <v>1</v>
      </c>
      <c r="B97" s="42">
        <v>100</v>
      </c>
      <c r="C97" s="42">
        <v>4000</v>
      </c>
      <c r="D97" s="42">
        <v>7300</v>
      </c>
      <c r="E97" s="42">
        <v>160</v>
      </c>
      <c r="F97" s="42" t="s">
        <v>11</v>
      </c>
      <c r="G97" s="29">
        <f>+Payroll!E114</f>
        <v>23255.999999999996</v>
      </c>
      <c r="H97" s="2" t="str">
        <f t="shared" si="7"/>
        <v>*</v>
      </c>
      <c r="I97" s="29">
        <f t="shared" si="9"/>
        <v>35232.839999999997</v>
      </c>
      <c r="J97" s="29">
        <f t="shared" si="10"/>
        <v>35585.168399999995</v>
      </c>
      <c r="K97" s="29">
        <f t="shared" si="10"/>
        <v>35941.020083999996</v>
      </c>
      <c r="L97" s="29">
        <f t="shared" si="10"/>
        <v>36300.430284839997</v>
      </c>
    </row>
    <row r="98" spans="1:12" x14ac:dyDescent="0.25">
      <c r="A98" s="25">
        <v>1</v>
      </c>
      <c r="B98" s="42">
        <v>100</v>
      </c>
      <c r="C98" s="42">
        <v>4000</v>
      </c>
      <c r="D98" s="42">
        <v>7300</v>
      </c>
      <c r="E98" s="42">
        <v>210</v>
      </c>
      <c r="F98" s="42" t="s">
        <v>73</v>
      </c>
      <c r="G98" s="29">
        <f>+Payroll!F109+Payroll!F114</f>
        <v>1676.7575999999997</v>
      </c>
      <c r="H98" s="2" t="str">
        <f t="shared" si="7"/>
        <v>*</v>
      </c>
      <c r="I98" s="29">
        <f t="shared" si="9"/>
        <v>2540.2877639999997</v>
      </c>
      <c r="J98" s="29">
        <f t="shared" si="10"/>
        <v>2565.6906416399997</v>
      </c>
      <c r="K98" s="29">
        <f t="shared" si="10"/>
        <v>2591.3475480563998</v>
      </c>
      <c r="L98" s="29">
        <f t="shared" si="10"/>
        <v>2617.2610235369639</v>
      </c>
    </row>
    <row r="99" spans="1:12" x14ac:dyDescent="0.25">
      <c r="A99" s="25">
        <v>1</v>
      </c>
      <c r="B99" s="42">
        <v>100</v>
      </c>
      <c r="C99" s="42">
        <v>4000</v>
      </c>
      <c r="D99" s="42">
        <v>7300</v>
      </c>
      <c r="E99" s="42">
        <v>220</v>
      </c>
      <c r="F99" s="42" t="s">
        <v>74</v>
      </c>
      <c r="G99" s="29">
        <f>+Payroll!H109+Payroll!H114</f>
        <v>1779.0839999999996</v>
      </c>
      <c r="H99" s="2" t="str">
        <f t="shared" si="7"/>
        <v>*</v>
      </c>
      <c r="I99" s="29">
        <f t="shared" si="9"/>
        <v>2695.3122599999997</v>
      </c>
      <c r="J99" s="29">
        <f t="shared" si="10"/>
        <v>2722.2653825999996</v>
      </c>
      <c r="K99" s="29">
        <f t="shared" si="10"/>
        <v>2749.4880364259998</v>
      </c>
      <c r="L99" s="29">
        <f t="shared" si="10"/>
        <v>2776.9829167902599</v>
      </c>
    </row>
    <row r="100" spans="1:12" x14ac:dyDescent="0.25">
      <c r="A100" s="25">
        <v>1</v>
      </c>
      <c r="B100" s="42">
        <v>100</v>
      </c>
      <c r="C100" s="42">
        <v>4000</v>
      </c>
      <c r="D100" s="42">
        <v>7300</v>
      </c>
      <c r="E100" s="42">
        <v>230</v>
      </c>
      <c r="F100" s="42" t="s">
        <v>75</v>
      </c>
      <c r="G100" s="29">
        <f>+Payroll!I109+Payroll!I114</f>
        <v>0</v>
      </c>
      <c r="H100" s="2" t="str">
        <f t="shared" si="7"/>
        <v/>
      </c>
      <c r="I100" s="29">
        <f t="shared" si="9"/>
        <v>0</v>
      </c>
      <c r="J100" s="29">
        <f t="shared" si="10"/>
        <v>0</v>
      </c>
      <c r="K100" s="29">
        <f t="shared" si="10"/>
        <v>0</v>
      </c>
      <c r="L100" s="29">
        <f t="shared" si="10"/>
        <v>0</v>
      </c>
    </row>
    <row r="101" spans="1:12" x14ac:dyDescent="0.25">
      <c r="A101" s="25">
        <v>1</v>
      </c>
      <c r="B101" s="42">
        <v>100</v>
      </c>
      <c r="C101" s="42">
        <v>4000</v>
      </c>
      <c r="D101" s="42">
        <v>7300</v>
      </c>
      <c r="E101" s="42">
        <v>240</v>
      </c>
      <c r="F101" s="42" t="s">
        <v>76</v>
      </c>
      <c r="G101" s="29">
        <f>+Payroll!K109+Payroll!K114</f>
        <v>116.27999999999999</v>
      </c>
      <c r="H101" s="2" t="str">
        <f t="shared" si="7"/>
        <v>*</v>
      </c>
      <c r="I101" s="29">
        <f t="shared" si="9"/>
        <v>176.16419999999999</v>
      </c>
      <c r="J101" s="29">
        <f t="shared" si="10"/>
        <v>177.92584199999999</v>
      </c>
      <c r="K101" s="29">
        <f t="shared" si="10"/>
        <v>179.70510041999998</v>
      </c>
      <c r="L101" s="29">
        <f t="shared" si="10"/>
        <v>181.50215142419998</v>
      </c>
    </row>
    <row r="102" spans="1:12" x14ac:dyDescent="0.25">
      <c r="A102" s="25">
        <v>1</v>
      </c>
      <c r="B102" s="42">
        <v>100</v>
      </c>
      <c r="C102" s="42">
        <v>4000</v>
      </c>
      <c r="D102" s="42">
        <v>7300</v>
      </c>
      <c r="E102" s="42">
        <v>250</v>
      </c>
      <c r="F102" s="42" t="s">
        <v>77</v>
      </c>
      <c r="G102" s="29">
        <f>+Payroll!L109+Payroll!L114</f>
        <v>280</v>
      </c>
      <c r="H102" s="2" t="str">
        <f t="shared" si="7"/>
        <v>*</v>
      </c>
      <c r="I102" s="29">
        <f t="shared" si="9"/>
        <v>424.20000000000005</v>
      </c>
      <c r="J102" s="29">
        <f t="shared" si="10"/>
        <v>428.44200000000006</v>
      </c>
      <c r="K102" s="29">
        <f t="shared" si="10"/>
        <v>432.72642000000008</v>
      </c>
      <c r="L102" s="29">
        <f t="shared" si="10"/>
        <v>437.05368420000008</v>
      </c>
    </row>
    <row r="103" spans="1:12" hidden="1" x14ac:dyDescent="0.25">
      <c r="A103" s="25"/>
      <c r="B103" s="42">
        <f>' Expense Input'!B41</f>
        <v>495</v>
      </c>
      <c r="C103" s="42">
        <f>' Expense Input'!C41</f>
        <v>4000</v>
      </c>
      <c r="D103" s="42">
        <f>' Expense Input'!D41</f>
        <v>7800</v>
      </c>
      <c r="E103" s="42">
        <f>' Expense Input'!E41</f>
        <v>350</v>
      </c>
      <c r="F103" s="42" t="str">
        <f>' Expense Input'!F41</f>
        <v>AWD Transportation Contracted Services</v>
      </c>
      <c r="G103" s="93">
        <f>' Expense Input'!M41</f>
        <v>0</v>
      </c>
      <c r="H103" s="2" t="str">
        <f t="shared" si="7"/>
        <v/>
      </c>
      <c r="I103" s="29">
        <f>+G103*Inf</f>
        <v>0</v>
      </c>
      <c r="J103" s="29">
        <f t="shared" si="10"/>
        <v>0</v>
      </c>
      <c r="K103" s="29">
        <f t="shared" si="10"/>
        <v>0</v>
      </c>
      <c r="L103" s="29">
        <f t="shared" si="10"/>
        <v>0</v>
      </c>
    </row>
    <row r="104" spans="1:12" x14ac:dyDescent="0.25">
      <c r="A104" s="25"/>
      <c r="B104" s="42">
        <f>' Expense Input'!B42</f>
        <v>100</v>
      </c>
      <c r="C104" s="42">
        <f>' Expense Input'!C42</f>
        <v>4000</v>
      </c>
      <c r="D104" s="42">
        <f>' Expense Input'!D42</f>
        <v>7800</v>
      </c>
      <c r="E104" s="42">
        <f>' Expense Input'!E42</f>
        <v>550</v>
      </c>
      <c r="F104" s="42" t="str">
        <f>' Expense Input'!F42</f>
        <v>Transportation - Repair</v>
      </c>
      <c r="G104" s="93">
        <f>' Expense Input'!M42</f>
        <v>1821.7874999999999</v>
      </c>
      <c r="H104" s="2" t="str">
        <f t="shared" si="7"/>
        <v>*</v>
      </c>
      <c r="I104" s="29">
        <f>+G104*Inf</f>
        <v>1840.005375</v>
      </c>
      <c r="J104" s="29">
        <f t="shared" si="10"/>
        <v>1858.4054287500001</v>
      </c>
      <c r="K104" s="29">
        <f t="shared" si="10"/>
        <v>1876.9894830375001</v>
      </c>
      <c r="L104" s="29">
        <f t="shared" si="10"/>
        <v>1895.7593778678752</v>
      </c>
    </row>
    <row r="105" spans="1:12" x14ac:dyDescent="0.25">
      <c r="A105" s="25"/>
      <c r="B105" s="42">
        <f>' Expense Input'!B67</f>
        <v>0</v>
      </c>
      <c r="C105" s="42">
        <f>' Expense Input'!C67</f>
        <v>0</v>
      </c>
      <c r="D105" s="42">
        <f>' Expense Input'!D67</f>
        <v>0</v>
      </c>
      <c r="E105" s="42">
        <f>' Expense Input'!E67</f>
        <v>0</v>
      </c>
      <c r="F105" s="42" t="e">
        <f>' Expense Input'!#REF!</f>
        <v>#REF!</v>
      </c>
      <c r="G105" s="93">
        <f>' Expense Input'!M67</f>
        <v>0</v>
      </c>
      <c r="H105" s="2" t="str">
        <f t="shared" si="7"/>
        <v/>
      </c>
      <c r="I105" s="29">
        <f>+G105*Inf</f>
        <v>0</v>
      </c>
      <c r="J105" s="29">
        <f t="shared" si="10"/>
        <v>0</v>
      </c>
      <c r="K105" s="29">
        <f t="shared" si="10"/>
        <v>0</v>
      </c>
      <c r="L105" s="29">
        <f t="shared" si="10"/>
        <v>0</v>
      </c>
    </row>
    <row r="106" spans="1:12" x14ac:dyDescent="0.25">
      <c r="A106" s="25"/>
      <c r="B106" s="42">
        <f>' Expense Input'!B68</f>
        <v>0</v>
      </c>
      <c r="C106" s="42">
        <f>' Expense Input'!C68</f>
        <v>0</v>
      </c>
      <c r="D106" s="42">
        <f>' Expense Input'!D68</f>
        <v>0</v>
      </c>
      <c r="E106" s="42">
        <f>' Expense Input'!E68</f>
        <v>0</v>
      </c>
      <c r="F106" s="42">
        <f>' Expense Input'!F68</f>
        <v>0</v>
      </c>
      <c r="G106" s="93">
        <f>' Expense Input'!M68</f>
        <v>0</v>
      </c>
      <c r="H106" s="2" t="str">
        <f t="shared" si="7"/>
        <v/>
      </c>
      <c r="I106" s="29">
        <f>+G106*Inf</f>
        <v>0</v>
      </c>
      <c r="J106" s="29">
        <f t="shared" si="10"/>
        <v>0</v>
      </c>
      <c r="K106" s="29">
        <f t="shared" si="10"/>
        <v>0</v>
      </c>
      <c r="L106" s="29">
        <f t="shared" si="10"/>
        <v>0</v>
      </c>
    </row>
    <row r="107" spans="1:12" x14ac:dyDescent="0.25">
      <c r="A107" s="25"/>
      <c r="B107" s="42">
        <f>' Expense Input'!B69</f>
        <v>0</v>
      </c>
      <c r="C107" s="42">
        <f>' Expense Input'!C69</f>
        <v>0</v>
      </c>
      <c r="D107" s="42">
        <f>' Expense Input'!D69</f>
        <v>0</v>
      </c>
      <c r="E107" s="42">
        <f>' Expense Input'!E69</f>
        <v>0</v>
      </c>
      <c r="F107" s="42">
        <f>' Expense Input'!F69</f>
        <v>0</v>
      </c>
      <c r="G107" s="93">
        <f>' Expense Input'!M69</f>
        <v>0</v>
      </c>
      <c r="H107" s="2" t="str">
        <f t="shared" si="7"/>
        <v/>
      </c>
      <c r="I107" s="29">
        <f>+G107*Inf</f>
        <v>0</v>
      </c>
      <c r="J107" s="29">
        <f t="shared" si="10"/>
        <v>0</v>
      </c>
      <c r="K107" s="29">
        <f t="shared" si="10"/>
        <v>0</v>
      </c>
      <c r="L107" s="29">
        <f t="shared" si="10"/>
        <v>0</v>
      </c>
    </row>
    <row r="108" spans="1:12" hidden="1" x14ac:dyDescent="0.25">
      <c r="A108" s="25"/>
      <c r="B108" s="42"/>
      <c r="C108" s="42"/>
      <c r="D108" s="42"/>
      <c r="E108" s="42"/>
      <c r="F108" s="42"/>
      <c r="G108" s="93"/>
      <c r="H108" s="2" t="str">
        <f t="shared" si="7"/>
        <v/>
      </c>
      <c r="I108" s="93"/>
      <c r="J108" s="93"/>
      <c r="K108" s="93"/>
      <c r="L108" s="93"/>
    </row>
    <row r="109" spans="1:12" hidden="1" x14ac:dyDescent="0.25">
      <c r="A109" s="25"/>
      <c r="B109" s="42"/>
      <c r="C109" s="42"/>
      <c r="D109" s="42"/>
      <c r="E109" s="42"/>
      <c r="F109" s="42"/>
      <c r="G109" s="93"/>
      <c r="H109" s="2" t="str">
        <f t="shared" si="7"/>
        <v/>
      </c>
      <c r="I109" s="93"/>
      <c r="J109" s="93"/>
      <c r="K109" s="93"/>
      <c r="L109" s="93"/>
    </row>
    <row r="110" spans="1:12" x14ac:dyDescent="0.25">
      <c r="A110" s="25"/>
      <c r="B110" s="42"/>
      <c r="C110" s="42"/>
      <c r="D110" s="42"/>
      <c r="E110" s="42"/>
      <c r="F110" s="42"/>
      <c r="G110" s="43"/>
      <c r="H110" s="2" t="str">
        <f>IF(H111="*","*","")</f>
        <v>*</v>
      </c>
      <c r="I110" s="43"/>
      <c r="J110" s="43"/>
      <c r="K110" s="43"/>
      <c r="L110" s="43"/>
    </row>
    <row r="111" spans="1:12" x14ac:dyDescent="0.25">
      <c r="A111" s="25"/>
      <c r="F111" s="21" t="s">
        <v>50</v>
      </c>
      <c r="G111" s="39">
        <f>SUM(G95:G110)</f>
        <v>28929.909099999993</v>
      </c>
      <c r="H111" s="2" t="str">
        <f>IF(G111&gt;0.49,"*","")</f>
        <v>*</v>
      </c>
      <c r="I111" s="39">
        <f>SUM(I95:I110)</f>
        <v>42908.809598999993</v>
      </c>
      <c r="J111" s="39">
        <f>SUM(J95:J110)</f>
        <v>43337.897694989995</v>
      </c>
      <c r="K111" s="39">
        <f>SUM(K95:K110)</f>
        <v>43771.276671939893</v>
      </c>
      <c r="L111" s="39">
        <f>SUM(L95:L110)</f>
        <v>44208.989438659301</v>
      </c>
    </row>
    <row r="112" spans="1:12" x14ac:dyDescent="0.25">
      <c r="A112" s="25"/>
      <c r="B112" s="2"/>
      <c r="C112" s="2"/>
      <c r="D112" s="2"/>
      <c r="E112" s="2"/>
      <c r="F112" s="5"/>
      <c r="H112" s="2" t="str">
        <f>IF(H111="*","*","")</f>
        <v>*</v>
      </c>
    </row>
    <row r="113" spans="1:12" x14ac:dyDescent="0.25">
      <c r="A113" s="25"/>
      <c r="B113" s="2">
        <f>+' Expense Input'!B70</f>
        <v>0</v>
      </c>
      <c r="C113" s="2">
        <f>+' Expense Input'!C70</f>
        <v>0</v>
      </c>
      <c r="D113" s="2">
        <f>+' Expense Input'!D70</f>
        <v>0</v>
      </c>
      <c r="E113" s="2">
        <f>+' Expense Input'!E70</f>
        <v>0</v>
      </c>
      <c r="F113" s="2">
        <f>+' Expense Input'!F70</f>
        <v>0</v>
      </c>
      <c r="G113" s="12">
        <f>+' Expense Input'!M70</f>
        <v>0</v>
      </c>
      <c r="H113" s="2" t="str">
        <f t="shared" si="7"/>
        <v/>
      </c>
      <c r="I113" s="12">
        <v>0</v>
      </c>
      <c r="J113" s="12">
        <v>0</v>
      </c>
      <c r="K113" s="12">
        <v>0</v>
      </c>
      <c r="L113" s="12">
        <v>0</v>
      </c>
    </row>
    <row r="114" spans="1:12" x14ac:dyDescent="0.25">
      <c r="A114" s="25"/>
      <c r="B114" s="2">
        <f>+' Expense Input'!B71</f>
        <v>0</v>
      </c>
      <c r="C114" s="2">
        <f>+' Expense Input'!C71</f>
        <v>0</v>
      </c>
      <c r="D114" s="2">
        <f>+' Expense Input'!D71</f>
        <v>0</v>
      </c>
      <c r="E114" s="2">
        <f>+' Expense Input'!E71</f>
        <v>0</v>
      </c>
      <c r="F114" s="2">
        <f>+' Expense Input'!F71</f>
        <v>0</v>
      </c>
      <c r="G114" s="12">
        <f>+' Expense Input'!M71</f>
        <v>0</v>
      </c>
      <c r="H114" s="2" t="str">
        <f t="shared" si="7"/>
        <v/>
      </c>
      <c r="I114" s="12">
        <v>0</v>
      </c>
      <c r="J114" s="12">
        <v>0</v>
      </c>
      <c r="K114" s="12">
        <v>0</v>
      </c>
      <c r="L114" s="12">
        <v>0</v>
      </c>
    </row>
    <row r="115" spans="1:12" x14ac:dyDescent="0.25">
      <c r="A115" s="25"/>
      <c r="B115" s="2"/>
      <c r="C115" s="2"/>
      <c r="D115" s="2"/>
      <c r="E115" s="2"/>
      <c r="G115" s="43"/>
      <c r="H115" s="2" t="str">
        <f>IF(H116="*","*","")</f>
        <v/>
      </c>
      <c r="I115" s="43"/>
      <c r="J115" s="43"/>
      <c r="K115" s="43"/>
      <c r="L115" s="43"/>
    </row>
    <row r="116" spans="1:12" x14ac:dyDescent="0.25">
      <c r="A116" s="25"/>
      <c r="B116" s="2"/>
      <c r="C116" s="2"/>
      <c r="D116" s="2"/>
      <c r="E116" s="2"/>
      <c r="F116" s="21" t="s">
        <v>62</v>
      </c>
      <c r="G116" s="39">
        <f>SUM(G113:G115)</f>
        <v>0</v>
      </c>
      <c r="H116" s="2" t="str">
        <f>IF(G116&gt;0.49,"*","")</f>
        <v/>
      </c>
      <c r="I116" s="39">
        <f>SUM(I113:I115)</f>
        <v>0</v>
      </c>
      <c r="J116" s="39">
        <f>SUM(J113:J115)</f>
        <v>0</v>
      </c>
      <c r="K116" s="39">
        <f>SUM(K113:K115)</f>
        <v>0</v>
      </c>
      <c r="L116" s="39">
        <f>SUM(L113:L115)</f>
        <v>0</v>
      </c>
    </row>
    <row r="117" spans="1:12" x14ac:dyDescent="0.25">
      <c r="A117" s="25"/>
      <c r="B117" s="2"/>
      <c r="C117" s="2"/>
      <c r="D117" s="2"/>
      <c r="E117" s="2"/>
      <c r="F117" s="21"/>
      <c r="G117" s="41"/>
      <c r="H117" s="2" t="str">
        <f>IF(H116="*","*","")</f>
        <v/>
      </c>
      <c r="I117" s="41"/>
      <c r="J117" s="41"/>
      <c r="K117" s="41"/>
      <c r="L117" s="41"/>
    </row>
    <row r="118" spans="1:12" x14ac:dyDescent="0.25">
      <c r="A118" s="25"/>
      <c r="B118" s="2">
        <f>' Expense Input'!B72</f>
        <v>0</v>
      </c>
      <c r="C118" s="2">
        <f>' Expense Input'!C72</f>
        <v>0</v>
      </c>
      <c r="D118" s="2">
        <f>' Expense Input'!D72</f>
        <v>0</v>
      </c>
      <c r="E118" s="2">
        <f>' Expense Input'!E72</f>
        <v>0</v>
      </c>
      <c r="F118" s="2">
        <f>' Expense Input'!F72</f>
        <v>0</v>
      </c>
      <c r="G118" s="12">
        <f>' Expense Input'!M72</f>
        <v>0</v>
      </c>
      <c r="H118" s="2" t="str">
        <f t="shared" si="7"/>
        <v/>
      </c>
      <c r="I118" s="12">
        <f>0.027*0.95*I11</f>
        <v>0</v>
      </c>
      <c r="J118" s="12">
        <f>0.027*0.95*J11</f>
        <v>0</v>
      </c>
      <c r="K118" s="12">
        <f>0.026*0.95*K11</f>
        <v>0</v>
      </c>
      <c r="L118" s="12">
        <f>0.026*0.95*L11</f>
        <v>0</v>
      </c>
    </row>
    <row r="119" spans="1:12" x14ac:dyDescent="0.25">
      <c r="A119" s="25"/>
      <c r="B119" s="2">
        <f>' Expense Input'!B73</f>
        <v>0</v>
      </c>
      <c r="C119" s="2">
        <f>' Expense Input'!C73</f>
        <v>0</v>
      </c>
      <c r="D119" s="2">
        <f>' Expense Input'!D73</f>
        <v>0</v>
      </c>
      <c r="E119" s="2">
        <f>' Expense Input'!E73</f>
        <v>0</v>
      </c>
      <c r="F119" s="2">
        <f>' Expense Input'!F73</f>
        <v>0</v>
      </c>
      <c r="G119" s="12">
        <f>' Expense Input'!M73</f>
        <v>0</v>
      </c>
      <c r="H119" s="2" t="str">
        <f t="shared" si="7"/>
        <v/>
      </c>
      <c r="I119" s="12">
        <f>+G119/EnrNew*500*Inf</f>
        <v>0</v>
      </c>
      <c r="J119" s="12">
        <f>+I119/500*550*Inf</f>
        <v>0</v>
      </c>
      <c r="K119" s="12">
        <f>+J119*Inf</f>
        <v>0</v>
      </c>
      <c r="L119" s="12">
        <f>+K119*Inf</f>
        <v>0</v>
      </c>
    </row>
    <row r="120" spans="1:12" x14ac:dyDescent="0.25">
      <c r="A120" s="25"/>
      <c r="B120" s="2"/>
      <c r="C120" s="2"/>
      <c r="D120" s="2"/>
      <c r="E120" s="2"/>
      <c r="G120" s="43"/>
      <c r="H120" s="2" t="str">
        <f>IF(H121="*","*","")</f>
        <v/>
      </c>
      <c r="I120" s="43"/>
      <c r="J120" s="43"/>
      <c r="K120" s="43"/>
      <c r="L120" s="43"/>
    </row>
    <row r="121" spans="1:12" x14ac:dyDescent="0.25">
      <c r="A121" s="25"/>
      <c r="F121" s="21" t="s">
        <v>51</v>
      </c>
      <c r="G121" s="39">
        <f>SUM(G118:G119)</f>
        <v>0</v>
      </c>
      <c r="H121" s="2" t="str">
        <f>IF(G121&gt;0.49,"*","")</f>
        <v/>
      </c>
      <c r="I121" s="39">
        <f>SUM(I118:I119)</f>
        <v>0</v>
      </c>
      <c r="J121" s="39">
        <f>SUM(J118:J119)</f>
        <v>0</v>
      </c>
      <c r="K121" s="39">
        <f>SUM(K118:K119)</f>
        <v>0</v>
      </c>
      <c r="L121" s="39">
        <f>SUM(L118:L119)</f>
        <v>0</v>
      </c>
    </row>
    <row r="122" spans="1:12" x14ac:dyDescent="0.25">
      <c r="A122" s="25"/>
      <c r="F122" s="21"/>
      <c r="H122" s="2" t="str">
        <f>IF(H121="*","*","")</f>
        <v/>
      </c>
    </row>
    <row r="123" spans="1:12" x14ac:dyDescent="0.25">
      <c r="A123" s="25"/>
      <c r="B123" s="42">
        <v>410</v>
      </c>
      <c r="C123" s="42">
        <v>4000</v>
      </c>
      <c r="D123" s="42">
        <v>7600</v>
      </c>
      <c r="E123" s="42">
        <v>150</v>
      </c>
      <c r="F123" s="42" t="s">
        <v>191</v>
      </c>
      <c r="G123" s="93">
        <f>+Payroll!E133</f>
        <v>0</v>
      </c>
      <c r="H123" s="2" t="str">
        <f t="shared" si="7"/>
        <v/>
      </c>
      <c r="I123" s="93">
        <f t="shared" ref="I123:I130" si="11">+G123/EnrNew*500*Inf</f>
        <v>0</v>
      </c>
      <c r="J123" s="93">
        <f t="shared" ref="J123:J130" si="12">+I123/500*550*Inf</f>
        <v>0</v>
      </c>
      <c r="K123" s="93">
        <f t="shared" ref="K123:L130" si="13">+J123*Inf</f>
        <v>0</v>
      </c>
      <c r="L123" s="93">
        <f t="shared" si="13"/>
        <v>0</v>
      </c>
    </row>
    <row r="124" spans="1:12" hidden="1" x14ac:dyDescent="0.25">
      <c r="A124" s="25"/>
      <c r="B124" s="42">
        <v>410</v>
      </c>
      <c r="C124" s="42">
        <v>4000</v>
      </c>
      <c r="D124" s="42">
        <v>7600</v>
      </c>
      <c r="E124" s="42">
        <v>210</v>
      </c>
      <c r="F124" s="42" t="s">
        <v>73</v>
      </c>
      <c r="G124" s="93">
        <f>+Payroll!F133</f>
        <v>0</v>
      </c>
      <c r="H124" s="2" t="str">
        <f t="shared" si="7"/>
        <v/>
      </c>
      <c r="I124" s="93">
        <f t="shared" si="11"/>
        <v>0</v>
      </c>
      <c r="J124" s="93">
        <f t="shared" si="12"/>
        <v>0</v>
      </c>
      <c r="K124" s="93">
        <f t="shared" si="13"/>
        <v>0</v>
      </c>
      <c r="L124" s="93">
        <f t="shared" si="13"/>
        <v>0</v>
      </c>
    </row>
    <row r="125" spans="1:12" x14ac:dyDescent="0.25">
      <c r="A125" s="25"/>
      <c r="B125" s="42">
        <v>410</v>
      </c>
      <c r="C125" s="42">
        <v>4000</v>
      </c>
      <c r="D125" s="42">
        <v>7600</v>
      </c>
      <c r="E125" s="42">
        <v>220</v>
      </c>
      <c r="F125" s="42" t="s">
        <v>74</v>
      </c>
      <c r="G125" s="93">
        <f>+Payroll!H133</f>
        <v>0</v>
      </c>
      <c r="H125" s="2" t="str">
        <f t="shared" si="7"/>
        <v/>
      </c>
      <c r="I125" s="93">
        <f t="shared" si="11"/>
        <v>0</v>
      </c>
      <c r="J125" s="93">
        <f t="shared" si="12"/>
        <v>0</v>
      </c>
      <c r="K125" s="93">
        <f t="shared" si="13"/>
        <v>0</v>
      </c>
      <c r="L125" s="93">
        <f t="shared" si="13"/>
        <v>0</v>
      </c>
    </row>
    <row r="126" spans="1:12" hidden="1" x14ac:dyDescent="0.25">
      <c r="A126" s="25"/>
      <c r="B126" s="42">
        <v>410</v>
      </c>
      <c r="C126" s="42">
        <v>4000</v>
      </c>
      <c r="D126" s="42">
        <v>7600</v>
      </c>
      <c r="E126" s="42">
        <v>230</v>
      </c>
      <c r="F126" s="42" t="s">
        <v>75</v>
      </c>
      <c r="G126" s="93">
        <f>+Payroll!I133</f>
        <v>0</v>
      </c>
      <c r="H126" s="2" t="str">
        <f t="shared" si="7"/>
        <v/>
      </c>
      <c r="I126" s="93">
        <f t="shared" si="11"/>
        <v>0</v>
      </c>
      <c r="J126" s="93">
        <f t="shared" si="12"/>
        <v>0</v>
      </c>
      <c r="K126" s="93">
        <f t="shared" si="13"/>
        <v>0</v>
      </c>
      <c r="L126" s="93">
        <f t="shared" si="13"/>
        <v>0</v>
      </c>
    </row>
    <row r="127" spans="1:12" x14ac:dyDescent="0.25">
      <c r="A127" s="25"/>
      <c r="B127" s="42">
        <v>410</v>
      </c>
      <c r="C127" s="42">
        <v>4000</v>
      </c>
      <c r="D127" s="42">
        <v>7600</v>
      </c>
      <c r="E127" s="42">
        <v>240</v>
      </c>
      <c r="F127" s="42" t="s">
        <v>76</v>
      </c>
      <c r="G127" s="93">
        <f>+Payroll!K133</f>
        <v>0</v>
      </c>
      <c r="H127" s="2" t="str">
        <f t="shared" si="7"/>
        <v/>
      </c>
      <c r="I127" s="93">
        <f t="shared" si="11"/>
        <v>0</v>
      </c>
      <c r="J127" s="93">
        <f t="shared" si="12"/>
        <v>0</v>
      </c>
      <c r="K127" s="93">
        <f t="shared" si="13"/>
        <v>0</v>
      </c>
      <c r="L127" s="93">
        <f t="shared" si="13"/>
        <v>0</v>
      </c>
    </row>
    <row r="128" spans="1:12" x14ac:dyDescent="0.25">
      <c r="A128" s="25"/>
      <c r="B128" s="42">
        <v>410</v>
      </c>
      <c r="C128" s="42">
        <v>4000</v>
      </c>
      <c r="D128" s="42">
        <v>7600</v>
      </c>
      <c r="E128" s="42">
        <v>250</v>
      </c>
      <c r="F128" s="42" t="s">
        <v>77</v>
      </c>
      <c r="G128" s="93">
        <f>+Payroll!L133</f>
        <v>0</v>
      </c>
      <c r="H128" s="2" t="str">
        <f t="shared" si="7"/>
        <v/>
      </c>
      <c r="I128" s="93">
        <f t="shared" si="11"/>
        <v>0</v>
      </c>
      <c r="J128" s="93">
        <f t="shared" si="12"/>
        <v>0</v>
      </c>
      <c r="K128" s="93">
        <f t="shared" si="13"/>
        <v>0</v>
      </c>
      <c r="L128" s="93">
        <f t="shared" si="13"/>
        <v>0</v>
      </c>
    </row>
    <row r="129" spans="1:12" x14ac:dyDescent="0.25">
      <c r="A129" s="25"/>
      <c r="B129" s="42">
        <f>' Expense Input'!B74</f>
        <v>0</v>
      </c>
      <c r="C129" s="42">
        <f>' Expense Input'!C74</f>
        <v>0</v>
      </c>
      <c r="D129" s="42">
        <f>' Expense Input'!D74</f>
        <v>0</v>
      </c>
      <c r="E129" s="42">
        <f>' Expense Input'!E74</f>
        <v>0</v>
      </c>
      <c r="F129" s="42">
        <f>' Expense Input'!F74</f>
        <v>0</v>
      </c>
      <c r="G129" s="93">
        <f>' Expense Input'!M74</f>
        <v>0</v>
      </c>
      <c r="H129" s="2" t="str">
        <f t="shared" si="7"/>
        <v/>
      </c>
      <c r="I129" s="93">
        <f t="shared" si="11"/>
        <v>0</v>
      </c>
      <c r="J129" s="93">
        <f t="shared" si="12"/>
        <v>0</v>
      </c>
      <c r="K129" s="93">
        <f t="shared" si="13"/>
        <v>0</v>
      </c>
      <c r="L129" s="93">
        <f t="shared" si="13"/>
        <v>0</v>
      </c>
    </row>
    <row r="130" spans="1:12" hidden="1" x14ac:dyDescent="0.25">
      <c r="A130" s="25"/>
      <c r="B130" s="42">
        <f>' Expense Input'!B75</f>
        <v>0</v>
      </c>
      <c r="C130" s="42">
        <f>' Expense Input'!C75</f>
        <v>0</v>
      </c>
      <c r="D130" s="42">
        <f>' Expense Input'!D75</f>
        <v>0</v>
      </c>
      <c r="E130" s="42">
        <f>' Expense Input'!E75</f>
        <v>0</v>
      </c>
      <c r="F130" s="42">
        <f>' Expense Input'!F75</f>
        <v>0</v>
      </c>
      <c r="G130" s="93">
        <f>' Expense Input'!M75</f>
        <v>0</v>
      </c>
      <c r="H130" s="2" t="str">
        <f t="shared" si="7"/>
        <v/>
      </c>
      <c r="I130" s="93">
        <f t="shared" si="11"/>
        <v>0</v>
      </c>
      <c r="J130" s="93">
        <f t="shared" si="12"/>
        <v>0</v>
      </c>
      <c r="K130" s="93">
        <f t="shared" si="13"/>
        <v>0</v>
      </c>
      <c r="L130" s="93">
        <f t="shared" si="13"/>
        <v>0</v>
      </c>
    </row>
    <row r="131" spans="1:12" hidden="1" x14ac:dyDescent="0.25">
      <c r="A131" s="25"/>
      <c r="B131" s="42"/>
      <c r="C131" s="42"/>
      <c r="D131" s="42"/>
      <c r="E131" s="42"/>
      <c r="F131" s="42"/>
      <c r="G131" s="43"/>
      <c r="H131" s="2" t="str">
        <f t="shared" si="7"/>
        <v/>
      </c>
      <c r="I131" s="43"/>
      <c r="J131" s="43"/>
      <c r="K131" s="43"/>
      <c r="L131" s="43"/>
    </row>
    <row r="132" spans="1:12" hidden="1" x14ac:dyDescent="0.25">
      <c r="A132" s="25"/>
      <c r="B132" s="42"/>
      <c r="C132" s="42"/>
      <c r="D132" s="42"/>
      <c r="E132" s="42"/>
      <c r="F132" s="42"/>
      <c r="G132" s="43"/>
      <c r="H132" s="2" t="str">
        <f t="shared" si="7"/>
        <v/>
      </c>
      <c r="I132" s="43"/>
      <c r="J132" s="43"/>
      <c r="K132" s="43"/>
      <c r="L132" s="43"/>
    </row>
    <row r="133" spans="1:12" x14ac:dyDescent="0.25">
      <c r="A133" s="25"/>
      <c r="B133" s="42"/>
      <c r="C133" s="42"/>
      <c r="D133" s="42"/>
      <c r="E133" s="42"/>
      <c r="F133" s="42"/>
      <c r="G133" s="43"/>
      <c r="H133" s="2" t="str">
        <f>IF(H134="*","*","")</f>
        <v/>
      </c>
      <c r="I133" s="43"/>
      <c r="J133" s="43"/>
      <c r="K133" s="43"/>
      <c r="L133" s="43"/>
    </row>
    <row r="134" spans="1:12" x14ac:dyDescent="0.25">
      <c r="A134" s="25"/>
      <c r="F134" s="21" t="s">
        <v>52</v>
      </c>
      <c r="G134" s="39">
        <f>SUM(G123:G133)</f>
        <v>0</v>
      </c>
      <c r="H134" s="2" t="str">
        <f>IF(G134&gt;0.49,"*","")</f>
        <v/>
      </c>
      <c r="I134" s="39">
        <f>SUM(I123:I133)</f>
        <v>0</v>
      </c>
      <c r="J134" s="39">
        <f>SUM(J123:J133)</f>
        <v>0</v>
      </c>
      <c r="K134" s="39">
        <f>SUM(K123:K133)</f>
        <v>0</v>
      </c>
      <c r="L134" s="39">
        <f>SUM(L123:L133)</f>
        <v>0</v>
      </c>
    </row>
    <row r="135" spans="1:12" x14ac:dyDescent="0.25">
      <c r="A135" s="25"/>
      <c r="B135" s="42"/>
      <c r="C135" s="42"/>
      <c r="D135" s="42"/>
      <c r="E135" s="42"/>
      <c r="F135" s="42"/>
      <c r="G135" s="43"/>
      <c r="H135" s="2" t="str">
        <f>IF(H134="*","*","")</f>
        <v/>
      </c>
      <c r="I135" s="43"/>
      <c r="J135" s="43"/>
      <c r="K135" s="43"/>
      <c r="L135" s="43"/>
    </row>
    <row r="136" spans="1:12" x14ac:dyDescent="0.25">
      <c r="A136" s="25"/>
      <c r="B136" s="42">
        <f>+' Expense Input'!B76</f>
        <v>0</v>
      </c>
      <c r="C136" s="42">
        <f>+' Expense Input'!C76</f>
        <v>0</v>
      </c>
      <c r="D136" s="42">
        <f>+' Expense Input'!D76</f>
        <v>0</v>
      </c>
      <c r="E136" s="42">
        <f>+' Expense Input'!E76</f>
        <v>0</v>
      </c>
      <c r="F136" s="42">
        <f>+' Expense Input'!F76</f>
        <v>0</v>
      </c>
      <c r="G136" s="93">
        <f>+' Expense Input'!M76</f>
        <v>0</v>
      </c>
      <c r="H136" s="2" t="str">
        <f t="shared" si="7"/>
        <v/>
      </c>
      <c r="I136" s="93">
        <f>+G136/EnrNew*500*Inf</f>
        <v>0</v>
      </c>
      <c r="J136" s="93">
        <f>+I136/500*550*Inf</f>
        <v>0</v>
      </c>
      <c r="K136" s="93">
        <f>+J136*Inf</f>
        <v>0</v>
      </c>
      <c r="L136" s="93">
        <f>+K136*Inf</f>
        <v>0</v>
      </c>
    </row>
    <row r="137" spans="1:12" hidden="1" x14ac:dyDescent="0.25">
      <c r="A137" s="25"/>
      <c r="B137" s="42">
        <f>+' Expense Input'!B77</f>
        <v>0</v>
      </c>
      <c r="C137" s="42">
        <f>+' Expense Input'!C77</f>
        <v>0</v>
      </c>
      <c r="D137" s="42">
        <f>+' Expense Input'!D77</f>
        <v>0</v>
      </c>
      <c r="E137" s="42">
        <f>+' Expense Input'!E77</f>
        <v>0</v>
      </c>
      <c r="F137" s="42">
        <f>+' Expense Input'!F77</f>
        <v>0</v>
      </c>
      <c r="G137" s="93">
        <f>+' Expense Input'!M77</f>
        <v>0</v>
      </c>
      <c r="H137" s="2" t="str">
        <f t="shared" si="7"/>
        <v/>
      </c>
      <c r="I137" s="93"/>
      <c r="J137" s="93"/>
      <c r="K137" s="93"/>
      <c r="L137" s="93"/>
    </row>
    <row r="138" spans="1:12" hidden="1" x14ac:dyDescent="0.25">
      <c r="A138" s="25"/>
      <c r="B138" s="42"/>
      <c r="C138" s="42"/>
      <c r="D138" s="42"/>
      <c r="E138" s="42"/>
      <c r="F138" s="42"/>
      <c r="G138" s="43"/>
      <c r="H138" s="2" t="str">
        <f t="shared" si="7"/>
        <v/>
      </c>
      <c r="I138" s="43"/>
      <c r="J138" s="43"/>
      <c r="K138" s="43"/>
      <c r="L138" s="43"/>
    </row>
    <row r="139" spans="1:12" hidden="1" x14ac:dyDescent="0.25">
      <c r="A139" s="25"/>
      <c r="B139" s="42"/>
      <c r="C139" s="42"/>
      <c r="D139" s="42"/>
      <c r="E139" s="42"/>
      <c r="F139" s="42"/>
      <c r="G139" s="43"/>
      <c r="H139" s="2" t="str">
        <f t="shared" si="7"/>
        <v/>
      </c>
      <c r="I139" s="43"/>
      <c r="J139" s="43"/>
      <c r="K139" s="43"/>
      <c r="L139" s="43"/>
    </row>
    <row r="140" spans="1:12" hidden="1" x14ac:dyDescent="0.25">
      <c r="A140" s="25"/>
      <c r="B140" s="42"/>
      <c r="C140" s="42"/>
      <c r="D140" s="42"/>
      <c r="E140" s="42"/>
      <c r="F140" s="42"/>
      <c r="G140" s="43"/>
      <c r="H140" s="2" t="str">
        <f t="shared" si="7"/>
        <v/>
      </c>
      <c r="I140" s="43"/>
      <c r="J140" s="43"/>
      <c r="K140" s="43"/>
      <c r="L140" s="43"/>
    </row>
    <row r="141" spans="1:12" hidden="1" x14ac:dyDescent="0.25">
      <c r="A141" s="25"/>
      <c r="B141" s="42"/>
      <c r="C141" s="42"/>
      <c r="D141" s="42"/>
      <c r="E141" s="42"/>
      <c r="F141" s="42"/>
      <c r="G141" s="43"/>
      <c r="H141" s="2" t="str">
        <f t="shared" ref="H141:H190" si="14">IF(G141&gt;0.49,"*","")</f>
        <v/>
      </c>
      <c r="I141" s="43"/>
      <c r="J141" s="43"/>
      <c r="K141" s="43"/>
      <c r="L141" s="43"/>
    </row>
    <row r="142" spans="1:12" hidden="1" x14ac:dyDescent="0.25">
      <c r="A142" s="25"/>
      <c r="B142" s="42"/>
      <c r="C142" s="42"/>
      <c r="D142" s="42"/>
      <c r="E142" s="42"/>
      <c r="F142" s="42"/>
      <c r="G142" s="43"/>
      <c r="H142" s="2" t="str">
        <f t="shared" si="14"/>
        <v/>
      </c>
      <c r="I142" s="43"/>
      <c r="J142" s="43"/>
      <c r="K142" s="43"/>
      <c r="L142" s="43"/>
    </row>
    <row r="143" spans="1:12" hidden="1" x14ac:dyDescent="0.25">
      <c r="A143" s="25"/>
      <c r="B143" s="42"/>
      <c r="C143" s="42"/>
      <c r="D143" s="42"/>
      <c r="E143" s="42"/>
      <c r="F143" s="42"/>
      <c r="G143" s="43"/>
      <c r="H143" s="2" t="str">
        <f t="shared" si="14"/>
        <v/>
      </c>
      <c r="I143" s="43"/>
      <c r="J143" s="43"/>
      <c r="K143" s="43"/>
      <c r="L143" s="43"/>
    </row>
    <row r="144" spans="1:12" x14ac:dyDescent="0.25">
      <c r="A144" s="25"/>
      <c r="B144" s="42"/>
      <c r="C144" s="42"/>
      <c r="D144" s="42"/>
      <c r="E144" s="42"/>
      <c r="F144" s="42"/>
      <c r="G144" s="43"/>
      <c r="H144" s="2" t="str">
        <f>IF(H145="*","*","")</f>
        <v/>
      </c>
      <c r="I144" s="43"/>
      <c r="J144" s="43"/>
      <c r="K144" s="43"/>
      <c r="L144" s="43"/>
    </row>
    <row r="145" spans="1:12" x14ac:dyDescent="0.25">
      <c r="A145" s="25"/>
      <c r="F145" s="21" t="s">
        <v>53</v>
      </c>
      <c r="G145" s="39">
        <f>SUM(G136:G144)</f>
        <v>0</v>
      </c>
      <c r="H145" s="2" t="str">
        <f>IF(G145&gt;0.49,"*","")</f>
        <v/>
      </c>
      <c r="I145" s="39">
        <f>SUM(I136:I144)</f>
        <v>0</v>
      </c>
      <c r="J145" s="39">
        <f>SUM(J136:J144)</f>
        <v>0</v>
      </c>
      <c r="K145" s="39">
        <f>SUM(K136:K144)</f>
        <v>0</v>
      </c>
      <c r="L145" s="39">
        <f>SUM(L136:L144)</f>
        <v>0</v>
      </c>
    </row>
    <row r="146" spans="1:12" x14ac:dyDescent="0.25">
      <c r="A146" s="25"/>
      <c r="B146" s="2"/>
      <c r="C146" s="2"/>
      <c r="D146" s="2"/>
      <c r="E146" s="2"/>
      <c r="F146" s="16"/>
      <c r="H146" s="2" t="str">
        <f>IF(H145="*","*","")</f>
        <v/>
      </c>
    </row>
    <row r="147" spans="1:12" x14ac:dyDescent="0.25">
      <c r="A147" s="25"/>
      <c r="B147" s="42">
        <v>100</v>
      </c>
      <c r="C147" s="42">
        <v>4000</v>
      </c>
      <c r="D147" s="42">
        <v>7900</v>
      </c>
      <c r="E147" s="42">
        <v>160</v>
      </c>
      <c r="F147" s="42" t="s">
        <v>190</v>
      </c>
      <c r="G147" s="93">
        <f>+Payroll!E125</f>
        <v>0</v>
      </c>
      <c r="H147" s="2" t="str">
        <f t="shared" si="14"/>
        <v/>
      </c>
      <c r="I147" s="93">
        <f t="shared" ref="I147:I152" si="15">+G147/EnrNew*500*Inf</f>
        <v>0</v>
      </c>
      <c r="J147" s="93">
        <f t="shared" ref="J147:J158" si="16">+I147/500*550*Inf</f>
        <v>0</v>
      </c>
      <c r="K147" s="93">
        <f t="shared" ref="K147:L158" si="17">+J147*Inf</f>
        <v>0</v>
      </c>
      <c r="L147" s="93">
        <f t="shared" si="17"/>
        <v>0</v>
      </c>
    </row>
    <row r="148" spans="1:12" hidden="1" x14ac:dyDescent="0.25">
      <c r="A148" s="25"/>
      <c r="B148" s="42">
        <v>100</v>
      </c>
      <c r="C148" s="42">
        <v>4000</v>
      </c>
      <c r="D148" s="42">
        <v>7900</v>
      </c>
      <c r="E148" s="42">
        <v>210</v>
      </c>
      <c r="F148" s="42" t="s">
        <v>73</v>
      </c>
      <c r="G148" s="93">
        <f>+Payroll!F125</f>
        <v>0</v>
      </c>
      <c r="H148" s="2" t="str">
        <f t="shared" si="14"/>
        <v/>
      </c>
      <c r="I148" s="93">
        <f t="shared" si="15"/>
        <v>0</v>
      </c>
      <c r="J148" s="93">
        <f t="shared" si="16"/>
        <v>0</v>
      </c>
      <c r="K148" s="93">
        <f t="shared" si="17"/>
        <v>0</v>
      </c>
      <c r="L148" s="93">
        <f t="shared" si="17"/>
        <v>0</v>
      </c>
    </row>
    <row r="149" spans="1:12" x14ac:dyDescent="0.25">
      <c r="A149" s="25"/>
      <c r="B149" s="42">
        <v>100</v>
      </c>
      <c r="C149" s="42">
        <v>4000</v>
      </c>
      <c r="D149" s="42">
        <v>7900</v>
      </c>
      <c r="E149" s="42">
        <v>220</v>
      </c>
      <c r="F149" s="42" t="s">
        <v>74</v>
      </c>
      <c r="G149" s="93">
        <f>+Payroll!H125</f>
        <v>0</v>
      </c>
      <c r="H149" s="2" t="str">
        <f t="shared" si="14"/>
        <v/>
      </c>
      <c r="I149" s="93">
        <f t="shared" si="15"/>
        <v>0</v>
      </c>
      <c r="J149" s="93">
        <f t="shared" si="16"/>
        <v>0</v>
      </c>
      <c r="K149" s="93">
        <f t="shared" si="17"/>
        <v>0</v>
      </c>
      <c r="L149" s="93">
        <f t="shared" si="17"/>
        <v>0</v>
      </c>
    </row>
    <row r="150" spans="1:12" hidden="1" x14ac:dyDescent="0.25">
      <c r="A150" s="25"/>
      <c r="B150" s="42">
        <v>100</v>
      </c>
      <c r="C150" s="42">
        <v>4000</v>
      </c>
      <c r="D150" s="42">
        <v>7900</v>
      </c>
      <c r="E150" s="42">
        <v>230</v>
      </c>
      <c r="F150" s="42" t="s">
        <v>75</v>
      </c>
      <c r="G150" s="93">
        <f>+Payroll!I125</f>
        <v>0</v>
      </c>
      <c r="H150" s="2" t="str">
        <f t="shared" si="14"/>
        <v/>
      </c>
      <c r="I150" s="93">
        <f t="shared" si="15"/>
        <v>0</v>
      </c>
      <c r="J150" s="93">
        <f t="shared" si="16"/>
        <v>0</v>
      </c>
      <c r="K150" s="93">
        <f t="shared" si="17"/>
        <v>0</v>
      </c>
      <c r="L150" s="93">
        <f t="shared" si="17"/>
        <v>0</v>
      </c>
    </row>
    <row r="151" spans="1:12" x14ac:dyDescent="0.25">
      <c r="A151" s="25"/>
      <c r="B151" s="42">
        <v>100</v>
      </c>
      <c r="C151" s="42">
        <v>4000</v>
      </c>
      <c r="D151" s="42">
        <v>7900</v>
      </c>
      <c r="E151" s="42">
        <v>240</v>
      </c>
      <c r="F151" s="42" t="s">
        <v>76</v>
      </c>
      <c r="G151" s="93">
        <f>+Payroll!K125</f>
        <v>0</v>
      </c>
      <c r="H151" s="2" t="str">
        <f t="shared" si="14"/>
        <v/>
      </c>
      <c r="I151" s="93">
        <f t="shared" si="15"/>
        <v>0</v>
      </c>
      <c r="J151" s="93">
        <f t="shared" si="16"/>
        <v>0</v>
      </c>
      <c r="K151" s="93">
        <f t="shared" si="17"/>
        <v>0</v>
      </c>
      <c r="L151" s="93">
        <f t="shared" si="17"/>
        <v>0</v>
      </c>
    </row>
    <row r="152" spans="1:12" x14ac:dyDescent="0.25">
      <c r="A152" s="25"/>
      <c r="B152" s="42">
        <v>100</v>
      </c>
      <c r="C152" s="42">
        <v>4000</v>
      </c>
      <c r="D152" s="42">
        <v>7900</v>
      </c>
      <c r="E152" s="42">
        <v>250</v>
      </c>
      <c r="F152" s="42" t="s">
        <v>77</v>
      </c>
      <c r="G152" s="93">
        <f>+Payroll!L125</f>
        <v>0</v>
      </c>
      <c r="H152" s="2" t="str">
        <f t="shared" si="14"/>
        <v/>
      </c>
      <c r="I152" s="93">
        <f t="shared" si="15"/>
        <v>0</v>
      </c>
      <c r="J152" s="93">
        <f t="shared" si="16"/>
        <v>0</v>
      </c>
      <c r="K152" s="93">
        <f t="shared" si="17"/>
        <v>0</v>
      </c>
      <c r="L152" s="93">
        <f t="shared" si="17"/>
        <v>0</v>
      </c>
    </row>
    <row r="153" spans="1:12" x14ac:dyDescent="0.25">
      <c r="A153" s="25"/>
      <c r="B153" s="42">
        <f>' Expense Input'!B78</f>
        <v>0</v>
      </c>
      <c r="C153" s="42">
        <f>' Expense Input'!C78</f>
        <v>0</v>
      </c>
      <c r="D153" s="42">
        <f>' Expense Input'!D78</f>
        <v>0</v>
      </c>
      <c r="E153" s="42">
        <f>' Expense Input'!E78</f>
        <v>0</v>
      </c>
      <c r="F153" s="42">
        <f>' Expense Input'!F78</f>
        <v>0</v>
      </c>
      <c r="G153" s="93">
        <f>' Expense Input'!M78</f>
        <v>0</v>
      </c>
      <c r="H153" s="2" t="str">
        <f t="shared" si="14"/>
        <v/>
      </c>
      <c r="I153" s="93">
        <v>75000</v>
      </c>
      <c r="J153" s="93">
        <f t="shared" si="16"/>
        <v>83325</v>
      </c>
      <c r="K153" s="93">
        <f t="shared" si="17"/>
        <v>84158.25</v>
      </c>
      <c r="L153" s="93">
        <f t="shared" si="17"/>
        <v>84999.832500000004</v>
      </c>
    </row>
    <row r="154" spans="1:12" x14ac:dyDescent="0.25">
      <c r="A154" s="25"/>
      <c r="B154" s="42">
        <f>' Expense Input'!B79</f>
        <v>0</v>
      </c>
      <c r="C154" s="42">
        <f>' Expense Input'!C79</f>
        <v>0</v>
      </c>
      <c r="D154" s="42">
        <f>' Expense Input'!D79</f>
        <v>0</v>
      </c>
      <c r="E154" s="42">
        <f>' Expense Input'!E79</f>
        <v>0</v>
      </c>
      <c r="F154" s="42">
        <f>' Expense Input'!F79</f>
        <v>0</v>
      </c>
      <c r="G154" s="93">
        <f>' Expense Input'!M79</f>
        <v>0</v>
      </c>
      <c r="H154" s="2" t="str">
        <f t="shared" si="14"/>
        <v/>
      </c>
      <c r="I154" s="93">
        <f>+G154/EnrNew*500*Inf</f>
        <v>0</v>
      </c>
      <c r="J154" s="93">
        <f t="shared" si="16"/>
        <v>0</v>
      </c>
      <c r="K154" s="93">
        <f t="shared" si="17"/>
        <v>0</v>
      </c>
      <c r="L154" s="93">
        <f t="shared" si="17"/>
        <v>0</v>
      </c>
    </row>
    <row r="155" spans="1:12" x14ac:dyDescent="0.25">
      <c r="A155" s="25"/>
      <c r="B155" s="42">
        <f>' Expense Input'!B80</f>
        <v>0</v>
      </c>
      <c r="C155" s="42">
        <f>' Expense Input'!C80</f>
        <v>0</v>
      </c>
      <c r="D155" s="42">
        <f>' Expense Input'!D80</f>
        <v>0</v>
      </c>
      <c r="E155" s="42">
        <f>' Expense Input'!E80</f>
        <v>0</v>
      </c>
      <c r="F155" s="42">
        <f>' Expense Input'!F80</f>
        <v>0</v>
      </c>
      <c r="G155" s="93">
        <f>' Expense Input'!M80</f>
        <v>0</v>
      </c>
      <c r="H155" s="2" t="str">
        <f t="shared" si="14"/>
        <v/>
      </c>
      <c r="I155" s="93">
        <f>+G155/EnrNew*500*Inf</f>
        <v>0</v>
      </c>
      <c r="J155" s="93">
        <f t="shared" si="16"/>
        <v>0</v>
      </c>
      <c r="K155" s="93">
        <f t="shared" si="17"/>
        <v>0</v>
      </c>
      <c r="L155" s="93">
        <f t="shared" si="17"/>
        <v>0</v>
      </c>
    </row>
    <row r="156" spans="1:12" x14ac:dyDescent="0.25">
      <c r="A156" s="25"/>
      <c r="B156" s="42">
        <f>' Expense Input'!B81</f>
        <v>0</v>
      </c>
      <c r="C156" s="42">
        <f>' Expense Input'!C81</f>
        <v>0</v>
      </c>
      <c r="D156" s="42">
        <f>' Expense Input'!D81</f>
        <v>0</v>
      </c>
      <c r="E156" s="42">
        <f>' Expense Input'!E81</f>
        <v>0</v>
      </c>
      <c r="F156" s="42">
        <f>' Expense Input'!F81</f>
        <v>0</v>
      </c>
      <c r="G156" s="93">
        <f>' Expense Input'!M81</f>
        <v>0</v>
      </c>
      <c r="H156" s="2" t="str">
        <f t="shared" si="14"/>
        <v/>
      </c>
      <c r="I156" s="93">
        <f>+G156/EnrNew*500*Inf</f>
        <v>0</v>
      </c>
      <c r="J156" s="93">
        <f t="shared" si="16"/>
        <v>0</v>
      </c>
      <c r="K156" s="93">
        <f t="shared" si="17"/>
        <v>0</v>
      </c>
      <c r="L156" s="93">
        <f t="shared" si="17"/>
        <v>0</v>
      </c>
    </row>
    <row r="157" spans="1:12" x14ac:dyDescent="0.25">
      <c r="A157" s="25"/>
      <c r="B157" s="42">
        <f>' Expense Input'!B82</f>
        <v>0</v>
      </c>
      <c r="C157" s="42">
        <f>' Expense Input'!C82</f>
        <v>0</v>
      </c>
      <c r="D157" s="42">
        <f>' Expense Input'!D82</f>
        <v>0</v>
      </c>
      <c r="E157" s="42">
        <f>' Expense Input'!E82</f>
        <v>0</v>
      </c>
      <c r="F157" s="42">
        <f>' Expense Input'!F82</f>
        <v>0</v>
      </c>
      <c r="G157" s="93">
        <f>' Expense Input'!M82</f>
        <v>0</v>
      </c>
      <c r="H157" s="2" t="str">
        <f t="shared" si="14"/>
        <v/>
      </c>
      <c r="I157" s="93">
        <f>+G157/EnrNew*500*Inf*1.25</f>
        <v>0</v>
      </c>
      <c r="J157" s="93">
        <f t="shared" si="16"/>
        <v>0</v>
      </c>
      <c r="K157" s="93">
        <f t="shared" si="17"/>
        <v>0</v>
      </c>
      <c r="L157" s="93">
        <f t="shared" si="17"/>
        <v>0</v>
      </c>
    </row>
    <row r="158" spans="1:12" x14ac:dyDescent="0.25">
      <c r="A158" s="25"/>
      <c r="B158" s="42">
        <f>' Expense Input'!B83</f>
        <v>0</v>
      </c>
      <c r="C158" s="42">
        <f>' Expense Input'!C83</f>
        <v>0</v>
      </c>
      <c r="D158" s="42">
        <f>' Expense Input'!D83</f>
        <v>0</v>
      </c>
      <c r="E158" s="42">
        <f>' Expense Input'!E83</f>
        <v>0</v>
      </c>
      <c r="F158" s="42">
        <f>' Expense Input'!F83</f>
        <v>0</v>
      </c>
      <c r="G158" s="93">
        <f>' Expense Input'!M83</f>
        <v>0</v>
      </c>
      <c r="H158" s="2" t="str">
        <f t="shared" si="14"/>
        <v/>
      </c>
      <c r="I158" s="93">
        <f>+G158/EnrNew*500*Inf*1.25</f>
        <v>0</v>
      </c>
      <c r="J158" s="93">
        <f t="shared" si="16"/>
        <v>0</v>
      </c>
      <c r="K158" s="93">
        <f t="shared" si="17"/>
        <v>0</v>
      </c>
      <c r="L158" s="93">
        <f t="shared" si="17"/>
        <v>0</v>
      </c>
    </row>
    <row r="159" spans="1:12" hidden="1" x14ac:dyDescent="0.25">
      <c r="A159" s="25"/>
      <c r="B159" s="42"/>
      <c r="C159" s="42"/>
      <c r="D159" s="42"/>
      <c r="E159" s="42"/>
      <c r="F159" s="42"/>
      <c r="G159" s="93"/>
      <c r="H159" s="2" t="str">
        <f t="shared" si="14"/>
        <v/>
      </c>
      <c r="I159" s="93"/>
      <c r="J159" s="93"/>
      <c r="K159" s="93"/>
      <c r="L159" s="93"/>
    </row>
    <row r="160" spans="1:12" hidden="1" x14ac:dyDescent="0.25">
      <c r="A160" s="25"/>
      <c r="B160" s="42"/>
      <c r="C160" s="42"/>
      <c r="D160" s="42"/>
      <c r="E160" s="42"/>
      <c r="F160" s="42"/>
      <c r="G160" s="93"/>
      <c r="H160" s="2" t="str">
        <f t="shared" si="14"/>
        <v/>
      </c>
      <c r="I160" s="93"/>
      <c r="J160" s="93"/>
      <c r="K160" s="93"/>
      <c r="L160" s="93"/>
    </row>
    <row r="161" spans="1:12" x14ac:dyDescent="0.25">
      <c r="A161" s="25"/>
      <c r="B161" s="42"/>
      <c r="C161" s="42"/>
      <c r="D161" s="42"/>
      <c r="E161" s="42"/>
      <c r="F161" s="42"/>
      <c r="G161" s="43"/>
      <c r="H161" s="2" t="str">
        <f>IF(H162="*","*","")</f>
        <v/>
      </c>
      <c r="I161" s="43"/>
      <c r="J161" s="43"/>
      <c r="K161" s="43"/>
      <c r="L161" s="43"/>
    </row>
    <row r="162" spans="1:12" x14ac:dyDescent="0.25">
      <c r="A162" s="25"/>
      <c r="F162" s="21" t="s">
        <v>54</v>
      </c>
      <c r="G162" s="39">
        <f>SUM(G147:G161)</f>
        <v>0</v>
      </c>
      <c r="H162" s="2" t="str">
        <f>IF(G162&gt;0.49,"*","")</f>
        <v/>
      </c>
      <c r="I162" s="39">
        <f>SUM(I147:I161)</f>
        <v>75000</v>
      </c>
      <c r="J162" s="39">
        <f>SUM(J147:J161)</f>
        <v>83325</v>
      </c>
      <c r="K162" s="39">
        <f>SUM(K147:K161)</f>
        <v>84158.25</v>
      </c>
      <c r="L162" s="39">
        <f>SUM(L147:L161)</f>
        <v>84999.832500000004</v>
      </c>
    </row>
    <row r="163" spans="1:12" x14ac:dyDescent="0.25">
      <c r="A163" s="25"/>
      <c r="F163" s="21"/>
      <c r="G163" s="41"/>
      <c r="H163" s="2" t="str">
        <f>IF(H162="*","*","")</f>
        <v/>
      </c>
      <c r="I163" s="41"/>
      <c r="J163" s="41"/>
      <c r="K163" s="41"/>
      <c r="L163" s="41"/>
    </row>
    <row r="164" spans="1:12" x14ac:dyDescent="0.25">
      <c r="A164" s="25"/>
      <c r="B164" s="42">
        <f>' Expense Input'!B84</f>
        <v>0</v>
      </c>
      <c r="C164" s="42">
        <f>' Expense Input'!C84</f>
        <v>0</v>
      </c>
      <c r="D164" s="42">
        <f>' Expense Input'!D84</f>
        <v>0</v>
      </c>
      <c r="E164" s="42">
        <f>' Expense Input'!E84</f>
        <v>0</v>
      </c>
      <c r="F164" s="42">
        <f>' Expense Input'!F84</f>
        <v>0</v>
      </c>
      <c r="G164" s="43">
        <f>' Expense Input'!M84</f>
        <v>0</v>
      </c>
      <c r="H164" s="2" t="str">
        <f t="shared" si="14"/>
        <v/>
      </c>
      <c r="I164" s="93">
        <f>+G164/EnrNew*500*Inf/2</f>
        <v>0</v>
      </c>
      <c r="J164" s="93">
        <f>+I164/500*550*Inf</f>
        <v>0</v>
      </c>
      <c r="K164" s="93">
        <f>+J164*Inf</f>
        <v>0</v>
      </c>
      <c r="L164" s="93">
        <f>+K164*Inf</f>
        <v>0</v>
      </c>
    </row>
    <row r="165" spans="1:12" x14ac:dyDescent="0.25">
      <c r="A165" s="25"/>
      <c r="B165" s="42"/>
      <c r="C165" s="42"/>
      <c r="D165" s="42"/>
      <c r="E165" s="42"/>
      <c r="F165" s="42"/>
      <c r="H165" s="2" t="str">
        <f>IF(H166="*","*","")</f>
        <v/>
      </c>
    </row>
    <row r="166" spans="1:12" x14ac:dyDescent="0.25">
      <c r="A166" s="25"/>
      <c r="F166" s="21" t="s">
        <v>55</v>
      </c>
      <c r="G166" s="39">
        <f>SUM(G164:G165)</f>
        <v>0</v>
      </c>
      <c r="H166" s="2" t="str">
        <f>IF(G166&gt;0.49,"*","")</f>
        <v/>
      </c>
      <c r="I166" s="39">
        <f>SUM(I164:I165)</f>
        <v>0</v>
      </c>
      <c r="J166" s="39">
        <f>SUM(J164:J165)</f>
        <v>0</v>
      </c>
      <c r="K166" s="39">
        <f>SUM(K164:K165)</f>
        <v>0</v>
      </c>
      <c r="L166" s="39">
        <f>SUM(L164:L165)</f>
        <v>0</v>
      </c>
    </row>
    <row r="167" spans="1:12" x14ac:dyDescent="0.25">
      <c r="A167" s="25"/>
      <c r="B167" s="42"/>
      <c r="C167" s="42"/>
      <c r="D167" s="42"/>
      <c r="E167" s="42"/>
      <c r="F167" s="42"/>
      <c r="G167" s="43"/>
      <c r="H167" s="2" t="str">
        <f>IF(H166="*","*","")</f>
        <v/>
      </c>
      <c r="I167" s="43"/>
      <c r="J167" s="43"/>
      <c r="K167" s="43"/>
      <c r="L167" s="43"/>
    </row>
    <row r="168" spans="1:12" x14ac:dyDescent="0.25">
      <c r="A168" s="25"/>
      <c r="B168" s="42">
        <v>891</v>
      </c>
      <c r="C168" s="42">
        <v>4000</v>
      </c>
      <c r="D168" s="42">
        <v>9100</v>
      </c>
      <c r="E168" s="42">
        <v>150</v>
      </c>
      <c r="F168" s="42" t="s">
        <v>193</v>
      </c>
      <c r="G168" s="43">
        <f>+Payroll!E136</f>
        <v>0</v>
      </c>
      <c r="H168" s="2" t="str">
        <f t="shared" si="14"/>
        <v/>
      </c>
      <c r="I168" s="93">
        <f t="shared" ref="I168:I173" si="18">+G168/EnrNew*500*Inf</f>
        <v>0</v>
      </c>
      <c r="J168" s="93">
        <f t="shared" ref="J168:J173" si="19">+I168/500*550*Inf</f>
        <v>0</v>
      </c>
      <c r="K168" s="93">
        <f t="shared" ref="K168:L173" si="20">+J168*Inf</f>
        <v>0</v>
      </c>
      <c r="L168" s="93">
        <f t="shared" si="20"/>
        <v>0</v>
      </c>
    </row>
    <row r="169" spans="1:12" hidden="1" x14ac:dyDescent="0.25">
      <c r="A169" s="25"/>
      <c r="B169" s="42">
        <v>891</v>
      </c>
      <c r="C169" s="42">
        <v>4000</v>
      </c>
      <c r="D169" s="42">
        <v>9100</v>
      </c>
      <c r="E169" s="42">
        <v>210</v>
      </c>
      <c r="F169" s="42" t="s">
        <v>73</v>
      </c>
      <c r="G169" s="43">
        <f>+Payroll!F136</f>
        <v>0</v>
      </c>
      <c r="H169" s="2" t="str">
        <f t="shared" si="14"/>
        <v/>
      </c>
      <c r="I169" s="93">
        <f t="shared" si="18"/>
        <v>0</v>
      </c>
      <c r="J169" s="93">
        <f t="shared" si="19"/>
        <v>0</v>
      </c>
      <c r="K169" s="93">
        <f t="shared" si="20"/>
        <v>0</v>
      </c>
      <c r="L169" s="93">
        <f t="shared" si="20"/>
        <v>0</v>
      </c>
    </row>
    <row r="170" spans="1:12" x14ac:dyDescent="0.25">
      <c r="A170" s="25"/>
      <c r="B170" s="42">
        <v>891</v>
      </c>
      <c r="C170" s="42">
        <v>4000</v>
      </c>
      <c r="D170" s="42">
        <v>9100</v>
      </c>
      <c r="E170" s="42">
        <v>220</v>
      </c>
      <c r="F170" s="42" t="s">
        <v>74</v>
      </c>
      <c r="G170" s="43">
        <f>+Payroll!H136</f>
        <v>0</v>
      </c>
      <c r="H170" s="2" t="str">
        <f t="shared" si="14"/>
        <v/>
      </c>
      <c r="I170" s="93">
        <f t="shared" si="18"/>
        <v>0</v>
      </c>
      <c r="J170" s="93">
        <f t="shared" si="19"/>
        <v>0</v>
      </c>
      <c r="K170" s="93">
        <f t="shared" si="20"/>
        <v>0</v>
      </c>
      <c r="L170" s="93">
        <f t="shared" si="20"/>
        <v>0</v>
      </c>
    </row>
    <row r="171" spans="1:12" hidden="1" x14ac:dyDescent="0.25">
      <c r="A171" s="25"/>
      <c r="B171" s="42">
        <v>891</v>
      </c>
      <c r="C171" s="42">
        <v>4000</v>
      </c>
      <c r="D171" s="42">
        <v>9100</v>
      </c>
      <c r="E171" s="42">
        <v>230</v>
      </c>
      <c r="F171" s="42" t="s">
        <v>75</v>
      </c>
      <c r="G171" s="43">
        <f>+Payroll!I136</f>
        <v>0</v>
      </c>
      <c r="H171" s="2" t="str">
        <f t="shared" si="14"/>
        <v/>
      </c>
      <c r="I171" s="93">
        <f t="shared" si="18"/>
        <v>0</v>
      </c>
      <c r="J171" s="93">
        <f t="shared" si="19"/>
        <v>0</v>
      </c>
      <c r="K171" s="93">
        <f t="shared" si="20"/>
        <v>0</v>
      </c>
      <c r="L171" s="93">
        <f t="shared" si="20"/>
        <v>0</v>
      </c>
    </row>
    <row r="172" spans="1:12" x14ac:dyDescent="0.25">
      <c r="A172" s="25"/>
      <c r="B172" s="42">
        <v>891</v>
      </c>
      <c r="C172" s="42">
        <v>4000</v>
      </c>
      <c r="D172" s="42">
        <v>9100</v>
      </c>
      <c r="E172" s="42">
        <v>240</v>
      </c>
      <c r="F172" s="42" t="s">
        <v>76</v>
      </c>
      <c r="G172" s="43">
        <f>+Payroll!K136</f>
        <v>0</v>
      </c>
      <c r="H172" s="2" t="str">
        <f t="shared" si="14"/>
        <v/>
      </c>
      <c r="I172" s="93">
        <f t="shared" si="18"/>
        <v>0</v>
      </c>
      <c r="J172" s="93">
        <f t="shared" si="19"/>
        <v>0</v>
      </c>
      <c r="K172" s="93">
        <f t="shared" si="20"/>
        <v>0</v>
      </c>
      <c r="L172" s="93">
        <f t="shared" si="20"/>
        <v>0</v>
      </c>
    </row>
    <row r="173" spans="1:12" x14ac:dyDescent="0.25">
      <c r="A173" s="25"/>
      <c r="B173" s="42">
        <v>891</v>
      </c>
      <c r="C173" s="42">
        <v>4000</v>
      </c>
      <c r="D173" s="42">
        <v>9100</v>
      </c>
      <c r="E173" s="42">
        <v>250</v>
      </c>
      <c r="F173" s="42" t="s">
        <v>77</v>
      </c>
      <c r="G173" s="43">
        <f>+Payroll!L136</f>
        <v>0</v>
      </c>
      <c r="H173" s="2" t="str">
        <f t="shared" si="14"/>
        <v/>
      </c>
      <c r="I173" s="93">
        <f t="shared" si="18"/>
        <v>0</v>
      </c>
      <c r="J173" s="93">
        <f t="shared" si="19"/>
        <v>0</v>
      </c>
      <c r="K173" s="93">
        <f t="shared" si="20"/>
        <v>0</v>
      </c>
      <c r="L173" s="93">
        <f t="shared" si="20"/>
        <v>0</v>
      </c>
    </row>
    <row r="174" spans="1:12" hidden="1" x14ac:dyDescent="0.25">
      <c r="A174" s="25"/>
      <c r="B174" s="42"/>
      <c r="C174" s="42"/>
      <c r="D174" s="42"/>
      <c r="E174" s="42"/>
      <c r="F174" s="42"/>
      <c r="G174" s="43"/>
      <c r="H174" s="2" t="str">
        <f t="shared" si="14"/>
        <v/>
      </c>
      <c r="I174" s="43"/>
      <c r="J174" s="43"/>
      <c r="K174" s="43"/>
      <c r="L174" s="43"/>
    </row>
    <row r="175" spans="1:12" hidden="1" x14ac:dyDescent="0.25">
      <c r="A175" s="25"/>
      <c r="B175" s="42"/>
      <c r="C175" s="42"/>
      <c r="D175" s="42"/>
      <c r="E175" s="42"/>
      <c r="F175" s="42"/>
      <c r="G175" s="43"/>
      <c r="H175" s="2" t="str">
        <f t="shared" si="14"/>
        <v/>
      </c>
      <c r="I175" s="43"/>
      <c r="J175" s="43"/>
      <c r="K175" s="43"/>
      <c r="L175" s="43"/>
    </row>
    <row r="176" spans="1:12" hidden="1" x14ac:dyDescent="0.25">
      <c r="A176" s="25"/>
      <c r="B176" s="42"/>
      <c r="C176" s="42"/>
      <c r="D176" s="42"/>
      <c r="E176" s="42"/>
      <c r="F176" s="42"/>
      <c r="G176" s="43"/>
      <c r="H176" s="2" t="str">
        <f t="shared" si="14"/>
        <v/>
      </c>
      <c r="I176" s="43"/>
      <c r="J176" s="43"/>
      <c r="K176" s="43"/>
      <c r="L176" s="43"/>
    </row>
    <row r="177" spans="1:12" x14ac:dyDescent="0.25">
      <c r="A177" s="25"/>
      <c r="B177" s="42"/>
      <c r="C177" s="42"/>
      <c r="D177" s="42"/>
      <c r="E177" s="42"/>
      <c r="F177" s="42"/>
      <c r="G177" s="43"/>
      <c r="H177" s="2" t="str">
        <f>IF(H178="*","*","")</f>
        <v/>
      </c>
      <c r="I177" s="43"/>
      <c r="J177" s="43"/>
      <c r="K177" s="43"/>
      <c r="L177" s="43"/>
    </row>
    <row r="178" spans="1:12" x14ac:dyDescent="0.25">
      <c r="A178" s="25"/>
      <c r="B178" s="42"/>
      <c r="C178" s="42"/>
      <c r="D178" s="42"/>
      <c r="E178" s="42"/>
      <c r="F178" s="21" t="s">
        <v>192</v>
      </c>
      <c r="G178" s="39">
        <f>SUM(G168:G177)</f>
        <v>0</v>
      </c>
      <c r="H178" s="2" t="str">
        <f>IF(G178&gt;0.49,"*","")</f>
        <v/>
      </c>
      <c r="I178" s="39">
        <f>SUM(I168:I177)</f>
        <v>0</v>
      </c>
      <c r="J178" s="39">
        <f>SUM(J168:J177)</f>
        <v>0</v>
      </c>
      <c r="K178" s="39">
        <f>SUM(K168:K177)</f>
        <v>0</v>
      </c>
      <c r="L178" s="39">
        <f>SUM(L168:L177)</f>
        <v>0</v>
      </c>
    </row>
    <row r="179" spans="1:12" x14ac:dyDescent="0.25">
      <c r="A179" s="25"/>
      <c r="B179" s="42"/>
      <c r="C179" s="42"/>
      <c r="D179" s="42"/>
      <c r="E179" s="42"/>
      <c r="F179" s="42"/>
      <c r="G179" s="43"/>
      <c r="H179" s="2" t="str">
        <f>IF(H178="*","*","")</f>
        <v/>
      </c>
      <c r="I179" s="43"/>
      <c r="J179" s="43"/>
      <c r="K179" s="43"/>
      <c r="L179" s="43"/>
    </row>
    <row r="180" spans="1:12" x14ac:dyDescent="0.25">
      <c r="A180" s="25"/>
      <c r="B180" s="42">
        <v>100</v>
      </c>
      <c r="C180" s="42">
        <v>4000</v>
      </c>
      <c r="D180" s="42">
        <v>9200</v>
      </c>
      <c r="E180" s="42">
        <v>710</v>
      </c>
      <c r="F180" s="42" t="s">
        <v>200</v>
      </c>
      <c r="G180" s="43"/>
      <c r="H180" s="2" t="s">
        <v>189</v>
      </c>
      <c r="I180" s="43">
        <v>50121.78</v>
      </c>
      <c r="J180" s="43">
        <v>54281.87</v>
      </c>
      <c r="K180" s="43">
        <v>58787.22</v>
      </c>
      <c r="L180" s="43">
        <v>63666.559999999998</v>
      </c>
    </row>
    <row r="181" spans="1:12" x14ac:dyDescent="0.25">
      <c r="A181" s="25"/>
      <c r="B181" s="42">
        <v>100</v>
      </c>
      <c r="C181" s="42">
        <v>4000</v>
      </c>
      <c r="D181" s="42">
        <v>9200</v>
      </c>
      <c r="E181" s="42">
        <v>720</v>
      </c>
      <c r="F181" s="42" t="s">
        <v>201</v>
      </c>
      <c r="G181" s="43"/>
      <c r="H181" s="2" t="s">
        <v>189</v>
      </c>
      <c r="I181" s="43">
        <v>478188.66</v>
      </c>
      <c r="J181" s="43">
        <v>474028.57</v>
      </c>
      <c r="K181" s="43">
        <v>469523.22</v>
      </c>
      <c r="L181" s="43">
        <v>464643.88</v>
      </c>
    </row>
    <row r="182" spans="1:12" hidden="1" x14ac:dyDescent="0.25">
      <c r="A182" s="25"/>
      <c r="B182" s="42"/>
      <c r="C182" s="42"/>
      <c r="D182" s="42"/>
      <c r="E182" s="42"/>
      <c r="F182" s="42"/>
      <c r="G182" s="43"/>
      <c r="H182" s="2" t="str">
        <f t="shared" si="14"/>
        <v/>
      </c>
      <c r="I182" s="43"/>
      <c r="J182" s="43"/>
      <c r="K182" s="43"/>
      <c r="L182" s="43"/>
    </row>
    <row r="183" spans="1:12" x14ac:dyDescent="0.25">
      <c r="A183" s="25"/>
      <c r="B183" s="42"/>
      <c r="C183" s="42"/>
      <c r="D183" s="42"/>
      <c r="E183" s="42"/>
      <c r="F183" s="42"/>
      <c r="G183" s="43"/>
      <c r="H183" s="2" t="s">
        <v>189</v>
      </c>
      <c r="I183" s="43"/>
      <c r="J183" s="43"/>
      <c r="K183" s="43"/>
      <c r="L183" s="43"/>
    </row>
    <row r="184" spans="1:12" x14ac:dyDescent="0.25">
      <c r="A184" s="25"/>
      <c r="B184" s="42"/>
      <c r="C184" s="42"/>
      <c r="D184" s="42"/>
      <c r="E184" s="42"/>
      <c r="F184" s="21" t="s">
        <v>202</v>
      </c>
      <c r="G184" s="39">
        <f>SUM(G180:G183)</f>
        <v>0</v>
      </c>
      <c r="H184" s="2" t="s">
        <v>189</v>
      </c>
      <c r="I184" s="39">
        <f>SUM(I180:I183)</f>
        <v>528310.43999999994</v>
      </c>
      <c r="J184" s="39">
        <f>SUM(J180:J183)</f>
        <v>528310.44000000006</v>
      </c>
      <c r="K184" s="39">
        <f>SUM(K180:K183)</f>
        <v>528310.43999999994</v>
      </c>
      <c r="L184" s="39">
        <f>SUM(L180:L183)</f>
        <v>528310.43999999994</v>
      </c>
    </row>
    <row r="185" spans="1:12" x14ac:dyDescent="0.25">
      <c r="A185" s="25"/>
      <c r="B185" s="42"/>
      <c r="C185" s="42"/>
      <c r="D185" s="42"/>
      <c r="E185" s="42"/>
      <c r="F185" s="42"/>
      <c r="G185" s="43"/>
      <c r="H185" s="2" t="s">
        <v>189</v>
      </c>
      <c r="I185" s="43"/>
      <c r="J185" s="43"/>
      <c r="K185" s="43"/>
      <c r="L185" s="43"/>
    </row>
    <row r="186" spans="1:12" hidden="1" x14ac:dyDescent="0.25">
      <c r="A186" s="25"/>
      <c r="B186" s="42"/>
      <c r="C186" s="42"/>
      <c r="D186" s="42"/>
      <c r="E186" s="42"/>
      <c r="F186" s="42"/>
      <c r="G186" s="43"/>
      <c r="H186" s="2" t="str">
        <f t="shared" si="14"/>
        <v/>
      </c>
      <c r="I186" s="43"/>
      <c r="J186" s="43"/>
      <c r="K186" s="43"/>
      <c r="L186" s="43"/>
    </row>
    <row r="187" spans="1:12" x14ac:dyDescent="0.25">
      <c r="A187" s="25"/>
      <c r="H187" s="2" t="e">
        <f>IF(H188="*","*","")</f>
        <v>#REF!</v>
      </c>
    </row>
    <row r="188" spans="1:12" x14ac:dyDescent="0.25">
      <c r="A188" s="25"/>
      <c r="F188" s="14" t="s">
        <v>56</v>
      </c>
      <c r="G188" s="39" t="e">
        <f>SUM(G184,G178,G166,G162,G145,G134,G121,G116,G111,G94,G81,G77,G73,G64,G54,G50)</f>
        <v>#REF!</v>
      </c>
      <c r="H188" s="2" t="e">
        <f>IF(G188&gt;0.49,"*","")</f>
        <v>#REF!</v>
      </c>
      <c r="I188" s="39" t="e">
        <f>SUM(I184,I178,I166,I162,I145,I134,I121,I116,I111,I94,I81,I77,I73,I64,I54,I50)</f>
        <v>#REF!</v>
      </c>
      <c r="J188" s="39" t="e">
        <f>SUM(J184,J178,J166,J162,J145,J134,J121,J116,J111,J94,J81,J77,J73,J64,J54,J50)</f>
        <v>#REF!</v>
      </c>
      <c r="K188" s="39" t="e">
        <f>SUM(K184,K178,K166,K162,K145,K134,K121,K116,K111,K94,K81,K77,K73,K64,K54,K50)</f>
        <v>#REF!</v>
      </c>
      <c r="L188" s="39" t="e">
        <f>SUM(L184,L178,L166,L162,L145,L134,L121,L116,L111,L94,L81,L77,L73,L64,L54,L50)</f>
        <v>#REF!</v>
      </c>
    </row>
    <row r="189" spans="1:12" x14ac:dyDescent="0.25">
      <c r="A189" s="25"/>
      <c r="B189" s="14"/>
      <c r="C189" s="14"/>
      <c r="D189" s="14"/>
      <c r="E189" s="14"/>
      <c r="H189" s="2" t="e">
        <f>IF(H188="*","*","")</f>
        <v>#REF!</v>
      </c>
    </row>
    <row r="190" spans="1:12" ht="18.75" customHeight="1" thickBot="1" x14ac:dyDescent="0.3">
      <c r="A190" s="25"/>
      <c r="B190" s="14"/>
      <c r="C190" s="14"/>
      <c r="D190" s="173" t="s">
        <v>63</v>
      </c>
      <c r="E190" s="173"/>
      <c r="F190" s="173"/>
      <c r="G190" s="86" t="e">
        <f>+G26-G188</f>
        <v>#REF!</v>
      </c>
      <c r="H190" s="2" t="e">
        <f t="shared" si="14"/>
        <v>#REF!</v>
      </c>
      <c r="I190" s="86" t="e">
        <f>+I26-I188</f>
        <v>#REF!</v>
      </c>
      <c r="J190" s="86" t="e">
        <f>+J26-J188</f>
        <v>#REF!</v>
      </c>
      <c r="K190" s="86" t="e">
        <f>+K26-K188</f>
        <v>#REF!</v>
      </c>
      <c r="L190" s="86" t="e">
        <f>+L26-L188</f>
        <v>#REF!</v>
      </c>
    </row>
    <row r="191" spans="1:12" ht="13.8" hidden="1" thickTop="1" x14ac:dyDescent="0.25"/>
    <row r="192" spans="1:12" ht="13.8" thickTop="1" x14ac:dyDescent="0.25"/>
  </sheetData>
  <autoFilter ref="H1:H191">
    <filterColumn colId="0">
      <filters>
        <filter val="*"/>
      </filters>
    </filterColumn>
  </autoFilter>
  <mergeCells count="1">
    <mergeCell ref="D190:F190"/>
  </mergeCells>
  <phoneticPr fontId="9" type="noConversion"/>
  <printOptions horizontalCentered="1"/>
  <pageMargins left="0" right="0" top="0.5" bottom="0.5" header="0" footer="0"/>
  <pageSetup fitToHeight="5" orientation="landscape" horizontalDpi="300" verticalDpi="300" r:id="rId1"/>
  <headerFooter alignWithMargins="0"/>
  <rowBreaks count="3" manualBreakCount="3">
    <brk id="94" max="16383" man="1"/>
    <brk id="134" max="16383" man="1"/>
    <brk id="17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94"/>
  <sheetViews>
    <sheetView showOutlineSymbols="0" topLeftCell="B1" workbookViewId="0">
      <selection activeCell="B1" sqref="B1"/>
    </sheetView>
  </sheetViews>
  <sheetFormatPr defaultColWidth="9.109375" defaultRowHeight="12.75" customHeight="1" x14ac:dyDescent="0.25"/>
  <cols>
    <col min="1" max="1" width="6.6640625" style="2" hidden="1" customWidth="1"/>
    <col min="2" max="2" width="4" style="2" customWidth="1"/>
    <col min="3" max="3" width="5" style="2" customWidth="1"/>
    <col min="4" max="5" width="1.88671875" style="2" customWidth="1"/>
    <col min="6" max="6" width="23.5546875" style="2" customWidth="1"/>
    <col min="7" max="7" width="11" style="2" hidden="1" customWidth="1"/>
    <col min="8" max="8" width="0.88671875" style="2" hidden="1" customWidth="1"/>
    <col min="9" max="9" width="11.109375" style="2" hidden="1" customWidth="1"/>
    <col min="10" max="10" width="0.88671875" style="2" customWidth="1"/>
    <col min="11" max="11" width="11" style="2" customWidth="1"/>
    <col min="12" max="12" width="0.88671875" style="2" customWidth="1"/>
    <col min="13" max="13" width="11" style="2" bestFit="1" customWidth="1"/>
    <col min="14" max="14" width="0.88671875" style="2" customWidth="1"/>
    <col min="15" max="15" width="24.6640625" style="2" bestFit="1" customWidth="1"/>
    <col min="16" max="16" width="9.109375" style="42" hidden="1" customWidth="1"/>
    <col min="17" max="17" width="3.109375" style="42" hidden="1" customWidth="1"/>
    <col min="18" max="18" width="3.88671875" style="42" hidden="1" customWidth="1"/>
    <col min="19" max="20" width="1.5546875" style="42" hidden="1" customWidth="1"/>
    <col min="21" max="21" width="23.5546875" style="42" hidden="1" customWidth="1"/>
    <col min="22" max="22" width="6.77734375" style="42" hidden="1" customWidth="1"/>
    <col min="23" max="16384" width="9.109375" style="42"/>
  </cols>
  <sheetData>
    <row r="1" spans="1:22" s="2" customFormat="1" ht="13.2" x14ac:dyDescent="0.25">
      <c r="B1" s="130" t="str">
        <f>Budget!B1</f>
        <v>CHAUTAUQUA LEARN &amp; SERVE CHARTER SCHOOL</v>
      </c>
      <c r="C1" s="130"/>
      <c r="D1" s="130"/>
      <c r="E1" s="130"/>
      <c r="F1" s="130"/>
      <c r="G1" s="130"/>
      <c r="P1" s="2" t="s">
        <v>189</v>
      </c>
    </row>
    <row r="2" spans="1:22" s="2" customFormat="1" ht="13.2" x14ac:dyDescent="0.25">
      <c r="B2" s="174" t="s">
        <v>270</v>
      </c>
      <c r="C2" s="174"/>
      <c r="D2" s="174"/>
      <c r="E2" s="174"/>
      <c r="F2" s="174"/>
      <c r="G2" s="174"/>
      <c r="P2" s="2" t="s">
        <v>189</v>
      </c>
    </row>
    <row r="3" spans="1:22" s="2" customFormat="1" ht="17.25" customHeight="1" x14ac:dyDescent="0.25">
      <c r="P3" s="2" t="s">
        <v>189</v>
      </c>
    </row>
    <row r="4" spans="1:22" s="2" customFormat="1" ht="17.25" customHeight="1" x14ac:dyDescent="0.25">
      <c r="B4" s="14"/>
      <c r="C4" s="14"/>
      <c r="D4" s="14"/>
      <c r="E4" s="14"/>
      <c r="F4" s="14"/>
      <c r="P4" s="2" t="s">
        <v>189</v>
      </c>
    </row>
    <row r="5" spans="1:22" s="2" customFormat="1" ht="13.2" x14ac:dyDescent="0.25">
      <c r="I5" s="18"/>
      <c r="P5" s="2" t="s">
        <v>189</v>
      </c>
    </row>
    <row r="6" spans="1:22" s="2" customFormat="1" ht="13.2" x14ac:dyDescent="0.25">
      <c r="G6" s="18"/>
      <c r="I6" s="18"/>
      <c r="M6" s="18"/>
      <c r="P6" s="2" t="s">
        <v>189</v>
      </c>
    </row>
    <row r="7" spans="1:22" s="2" customFormat="1" ht="13.2" x14ac:dyDescent="0.25">
      <c r="G7" s="18" t="s">
        <v>217</v>
      </c>
      <c r="I7" s="18" t="s">
        <v>217</v>
      </c>
      <c r="K7" s="164" t="s">
        <v>445</v>
      </c>
      <c r="M7" s="18" t="s">
        <v>242</v>
      </c>
      <c r="P7" s="2" t="s">
        <v>189</v>
      </c>
    </row>
    <row r="8" spans="1:22" s="8" customFormat="1" ht="12.75" customHeight="1" x14ac:dyDescent="0.25">
      <c r="G8" s="18" t="s">
        <v>205</v>
      </c>
      <c r="I8" s="18" t="s">
        <v>216</v>
      </c>
      <c r="K8" s="19" t="s">
        <v>414</v>
      </c>
      <c r="M8" s="19" t="s">
        <v>416</v>
      </c>
      <c r="O8" s="19" t="s">
        <v>66</v>
      </c>
      <c r="P8" s="2" t="s">
        <v>189</v>
      </c>
    </row>
    <row r="9" spans="1:22" ht="12.75" customHeight="1" x14ac:dyDescent="0.25">
      <c r="A9" s="42"/>
      <c r="B9" s="58"/>
      <c r="C9" s="58"/>
      <c r="D9" s="58"/>
      <c r="E9" s="58"/>
      <c r="F9" s="42"/>
      <c r="G9" s="59"/>
      <c r="H9" s="42"/>
      <c r="I9" s="44"/>
      <c r="J9" s="42"/>
      <c r="O9" s="22"/>
      <c r="P9" s="2" t="s">
        <v>189</v>
      </c>
    </row>
    <row r="10" spans="1:22" ht="12.75" hidden="1" customHeight="1" x14ac:dyDescent="0.25">
      <c r="A10" s="42"/>
      <c r="B10" s="110"/>
      <c r="C10" s="110"/>
      <c r="D10" s="110"/>
      <c r="E10" s="110"/>
      <c r="F10" s="110"/>
      <c r="G10" s="87"/>
      <c r="I10" s="87"/>
      <c r="J10" s="42"/>
      <c r="K10" s="111"/>
      <c r="M10" s="141"/>
      <c r="O10" s="120"/>
      <c r="P10" s="42" t="str">
        <f>IF(M10&gt;0.49,"*","")</f>
        <v/>
      </c>
    </row>
    <row r="11" spans="1:22" ht="12.75" customHeight="1" x14ac:dyDescent="0.25">
      <c r="A11" s="42"/>
      <c r="B11" s="110">
        <v>100</v>
      </c>
      <c r="C11" s="110">
        <v>3230</v>
      </c>
      <c r="D11" s="110">
        <v>0</v>
      </c>
      <c r="E11" s="110">
        <v>0</v>
      </c>
      <c r="F11" s="110" t="s">
        <v>288</v>
      </c>
      <c r="G11" s="87"/>
      <c r="I11" s="87"/>
      <c r="J11" s="42"/>
      <c r="K11" s="141">
        <v>46078.3</v>
      </c>
      <c r="M11" s="141">
        <f>+K11/EnrOld*EnrNew</f>
        <v>45062.628969860547</v>
      </c>
      <c r="O11" s="120" t="s">
        <v>275</v>
      </c>
      <c r="P11" s="42" t="str">
        <f t="shared" ref="P11:P31" si="0">IF(M11&gt;0.49,"*","")</f>
        <v>*</v>
      </c>
      <c r="Q11" s="110">
        <v>100</v>
      </c>
      <c r="R11" s="110">
        <v>3230</v>
      </c>
      <c r="S11" s="110">
        <v>0</v>
      </c>
      <c r="T11" s="110">
        <v>0</v>
      </c>
      <c r="U11" s="110" t="s">
        <v>288</v>
      </c>
      <c r="V11" s="141">
        <v>46078.3</v>
      </c>
    </row>
    <row r="12" spans="1:22" ht="12.75" customHeight="1" x14ac:dyDescent="0.25">
      <c r="A12" s="42"/>
      <c r="B12" s="110">
        <v>100</v>
      </c>
      <c r="C12" s="110">
        <v>3290</v>
      </c>
      <c r="D12" s="110">
        <v>0</v>
      </c>
      <c r="E12" s="110">
        <v>0</v>
      </c>
      <c r="F12" s="110" t="s">
        <v>289</v>
      </c>
      <c r="G12" s="87"/>
      <c r="I12" s="87"/>
      <c r="J12" s="42"/>
      <c r="K12" s="141">
        <v>85290.040000000008</v>
      </c>
      <c r="M12" s="141">
        <f>+K12/EnrOld*EnrNew</f>
        <v>83410.052613585241</v>
      </c>
      <c r="O12" s="120" t="s">
        <v>275</v>
      </c>
      <c r="P12" s="42" t="str">
        <f t="shared" si="0"/>
        <v>*</v>
      </c>
      <c r="Q12" s="110">
        <v>100</v>
      </c>
      <c r="R12" s="110">
        <v>3290</v>
      </c>
      <c r="S12" s="110">
        <v>0</v>
      </c>
      <c r="T12" s="110">
        <v>0</v>
      </c>
      <c r="U12" s="110" t="s">
        <v>289</v>
      </c>
      <c r="V12" s="141">
        <v>85290.040000000008</v>
      </c>
    </row>
    <row r="13" spans="1:22" ht="12.75" customHeight="1" x14ac:dyDescent="0.25">
      <c r="A13" s="42"/>
      <c r="B13" s="110">
        <v>100</v>
      </c>
      <c r="C13" s="110">
        <v>3300</v>
      </c>
      <c r="D13" s="110">
        <v>0</v>
      </c>
      <c r="E13" s="110">
        <v>0</v>
      </c>
      <c r="F13" s="110" t="s">
        <v>290</v>
      </c>
      <c r="G13" s="87"/>
      <c r="I13" s="87"/>
      <c r="K13" s="141">
        <v>606418.00000000012</v>
      </c>
      <c r="M13" s="168">
        <v>639253</v>
      </c>
      <c r="O13" s="120" t="s">
        <v>444</v>
      </c>
      <c r="P13" s="42" t="str">
        <f t="shared" si="0"/>
        <v>*</v>
      </c>
      <c r="Q13" s="110">
        <v>100</v>
      </c>
      <c r="R13" s="110">
        <v>3300</v>
      </c>
      <c r="S13" s="110">
        <v>0</v>
      </c>
      <c r="T13" s="110">
        <v>0</v>
      </c>
      <c r="U13" s="110" t="s">
        <v>290</v>
      </c>
      <c r="V13" s="141">
        <v>606418.00000000012</v>
      </c>
    </row>
    <row r="14" spans="1:22" ht="12.75" customHeight="1" x14ac:dyDescent="0.25">
      <c r="A14" s="42"/>
      <c r="B14" s="110">
        <v>100</v>
      </c>
      <c r="C14" s="110">
        <v>3334</v>
      </c>
      <c r="D14" s="110">
        <v>0</v>
      </c>
      <c r="E14" s="110">
        <v>0</v>
      </c>
      <c r="F14" s="110" t="s">
        <v>291</v>
      </c>
      <c r="G14" s="87"/>
      <c r="I14" s="87"/>
      <c r="J14" s="42"/>
      <c r="K14" s="141">
        <v>253</v>
      </c>
      <c r="M14" s="141">
        <f t="shared" ref="M14" si="1">+K14/EnrOld*EnrNew</f>
        <v>247.42330184435446</v>
      </c>
      <c r="O14" s="120" t="s">
        <v>275</v>
      </c>
      <c r="P14" s="42" t="str">
        <f t="shared" si="0"/>
        <v>*</v>
      </c>
      <c r="Q14" s="110">
        <v>100</v>
      </c>
      <c r="R14" s="110">
        <v>3334</v>
      </c>
      <c r="S14" s="110">
        <v>0</v>
      </c>
      <c r="T14" s="110">
        <v>0</v>
      </c>
      <c r="U14" s="110" t="s">
        <v>291</v>
      </c>
      <c r="V14" s="141">
        <v>253</v>
      </c>
    </row>
    <row r="15" spans="1:22" ht="12.75" customHeight="1" x14ac:dyDescent="0.25">
      <c r="A15" s="42"/>
      <c r="B15" s="110">
        <v>100</v>
      </c>
      <c r="C15" s="110">
        <v>3397</v>
      </c>
      <c r="D15" s="110">
        <v>0</v>
      </c>
      <c r="E15" s="110">
        <v>0</v>
      </c>
      <c r="F15" s="110" t="s">
        <v>151</v>
      </c>
      <c r="G15" s="87"/>
      <c r="I15" s="87"/>
      <c r="J15" s="42"/>
      <c r="K15" s="141">
        <v>19666</v>
      </c>
      <c r="M15" s="141">
        <f>+K15/EnrOld*EnrNew*0.587</f>
        <v>11289.487138101662</v>
      </c>
      <c r="O15" s="120" t="s">
        <v>521</v>
      </c>
      <c r="P15" s="42" t="str">
        <f t="shared" ref="P15" si="2">IF(M15&gt;0.49,"*","")</f>
        <v>*</v>
      </c>
      <c r="Q15" s="110">
        <v>100</v>
      </c>
      <c r="R15" s="110">
        <v>3397</v>
      </c>
      <c r="S15" s="110">
        <v>0</v>
      </c>
      <c r="T15" s="110">
        <v>0</v>
      </c>
      <c r="U15" s="110" t="s">
        <v>151</v>
      </c>
      <c r="V15" s="141">
        <v>19666</v>
      </c>
    </row>
    <row r="16" spans="1:22" ht="12.75" customHeight="1" x14ac:dyDescent="0.25">
      <c r="A16" s="42"/>
      <c r="B16" s="110">
        <v>100</v>
      </c>
      <c r="C16" s="110">
        <v>3400</v>
      </c>
      <c r="D16" s="110">
        <v>0</v>
      </c>
      <c r="E16" s="110">
        <v>0</v>
      </c>
      <c r="F16" s="110" t="s">
        <v>292</v>
      </c>
      <c r="G16" s="87"/>
      <c r="I16" s="87"/>
      <c r="J16" s="42"/>
      <c r="K16" s="141">
        <v>28.869999999999997</v>
      </c>
      <c r="M16" s="141">
        <f>+K16/EnrOld*EnrNew</f>
        <v>28.233639226270803</v>
      </c>
      <c r="O16" s="120" t="s">
        <v>276</v>
      </c>
      <c r="P16" s="42" t="str">
        <f t="shared" si="0"/>
        <v>*</v>
      </c>
      <c r="Q16" s="110">
        <v>100</v>
      </c>
      <c r="R16" s="110">
        <v>3400</v>
      </c>
      <c r="S16" s="110">
        <v>0</v>
      </c>
      <c r="T16" s="110">
        <v>0</v>
      </c>
      <c r="U16" s="110" t="s">
        <v>292</v>
      </c>
      <c r="V16" s="141">
        <v>28.869999999999997</v>
      </c>
    </row>
    <row r="17" spans="1:22" ht="12.75" customHeight="1" x14ac:dyDescent="0.25">
      <c r="A17" s="42"/>
      <c r="B17" s="110">
        <v>100</v>
      </c>
      <c r="C17" s="110">
        <v>3473</v>
      </c>
      <c r="D17" s="110">
        <v>0</v>
      </c>
      <c r="E17" s="110">
        <v>0</v>
      </c>
      <c r="F17" s="110" t="s">
        <v>294</v>
      </c>
      <c r="G17" s="87"/>
      <c r="I17" s="87"/>
      <c r="J17" s="42"/>
      <c r="K17" s="141">
        <v>797.6</v>
      </c>
      <c r="M17" s="141">
        <f>+K17/EnrOld*EnrNew</f>
        <v>780.01907332433643</v>
      </c>
      <c r="O17" s="120" t="s">
        <v>276</v>
      </c>
      <c r="P17" s="42" t="str">
        <f t="shared" si="0"/>
        <v>*</v>
      </c>
      <c r="Q17" s="110">
        <v>100</v>
      </c>
      <c r="R17" s="110">
        <v>3473</v>
      </c>
      <c r="S17" s="110">
        <v>0</v>
      </c>
      <c r="T17" s="110">
        <v>0</v>
      </c>
      <c r="U17" s="110" t="s">
        <v>294</v>
      </c>
      <c r="V17" s="141">
        <v>797.6</v>
      </c>
    </row>
    <row r="18" spans="1:22" ht="12.75" customHeight="1" x14ac:dyDescent="0.25">
      <c r="A18" s="42"/>
      <c r="B18" s="110">
        <v>100</v>
      </c>
      <c r="C18" s="110">
        <v>3600</v>
      </c>
      <c r="D18" s="110">
        <v>0</v>
      </c>
      <c r="E18" s="110">
        <v>0</v>
      </c>
      <c r="F18" s="110" t="s">
        <v>297</v>
      </c>
      <c r="G18" s="87"/>
      <c r="I18" s="87"/>
      <c r="J18" s="42"/>
      <c r="K18" s="141">
        <v>93474.26</v>
      </c>
      <c r="M18" s="141">
        <f>+K18/EnrOld*EnrNew</f>
        <v>91413.873702204219</v>
      </c>
      <c r="O18" s="120" t="s">
        <v>276</v>
      </c>
      <c r="P18" s="42" t="str">
        <f t="shared" si="0"/>
        <v>*</v>
      </c>
      <c r="Q18" s="110">
        <v>100</v>
      </c>
      <c r="R18" s="110">
        <v>3600</v>
      </c>
      <c r="S18" s="110">
        <v>0</v>
      </c>
      <c r="T18" s="110">
        <v>0</v>
      </c>
      <c r="U18" s="110" t="s">
        <v>297</v>
      </c>
      <c r="V18" s="141">
        <v>93474.26</v>
      </c>
    </row>
    <row r="19" spans="1:22" ht="12.75" hidden="1" customHeight="1" x14ac:dyDescent="0.25">
      <c r="A19" s="42"/>
      <c r="B19" s="110">
        <v>495</v>
      </c>
      <c r="C19" s="110">
        <v>3318</v>
      </c>
      <c r="D19" s="110">
        <v>0</v>
      </c>
      <c r="E19" s="110">
        <v>0</v>
      </c>
      <c r="F19" s="110" t="s">
        <v>417</v>
      </c>
      <c r="G19" s="87"/>
      <c r="I19" s="87"/>
      <c r="J19" s="42"/>
      <c r="K19" s="141">
        <v>122531.99999999999</v>
      </c>
      <c r="M19" s="141">
        <v>0</v>
      </c>
      <c r="O19" s="120" t="s">
        <v>441</v>
      </c>
      <c r="P19" s="42" t="str">
        <f t="shared" si="0"/>
        <v/>
      </c>
      <c r="Q19" s="110">
        <v>495</v>
      </c>
      <c r="R19" s="110">
        <v>3318</v>
      </c>
      <c r="S19" s="110">
        <v>0</v>
      </c>
      <c r="T19" s="110">
        <v>0</v>
      </c>
      <c r="U19" s="110" t="s">
        <v>417</v>
      </c>
      <c r="V19" s="141">
        <v>122531.99999999999</v>
      </c>
    </row>
    <row r="20" spans="1:22" ht="12.75" hidden="1" customHeight="1" x14ac:dyDescent="0.25">
      <c r="A20" s="42"/>
      <c r="B20" s="110"/>
      <c r="C20" s="110"/>
      <c r="D20" s="110"/>
      <c r="E20" s="110"/>
      <c r="F20" s="81"/>
      <c r="G20" s="87"/>
      <c r="I20" s="87"/>
      <c r="J20" s="42"/>
      <c r="K20" s="111"/>
      <c r="M20" s="87"/>
      <c r="O20" s="120"/>
      <c r="P20" s="42" t="str">
        <f t="shared" si="0"/>
        <v/>
      </c>
    </row>
    <row r="21" spans="1:22" ht="12.75" hidden="1" customHeight="1" x14ac:dyDescent="0.25">
      <c r="A21" s="42"/>
      <c r="B21" s="110"/>
      <c r="C21" s="110"/>
      <c r="D21" s="110"/>
      <c r="E21" s="110"/>
      <c r="F21" s="110"/>
      <c r="G21" s="87"/>
      <c r="I21" s="87"/>
      <c r="J21" s="42"/>
      <c r="K21" s="111"/>
      <c r="M21" s="87"/>
      <c r="O21" s="120"/>
      <c r="P21" s="42" t="str">
        <f t="shared" si="0"/>
        <v/>
      </c>
    </row>
    <row r="22" spans="1:22" ht="12.75" hidden="1" customHeight="1" x14ac:dyDescent="0.25">
      <c r="A22" s="42"/>
      <c r="B22" s="110"/>
      <c r="C22" s="110"/>
      <c r="D22" s="110"/>
      <c r="E22" s="110"/>
      <c r="F22" s="110"/>
      <c r="G22" s="87"/>
      <c r="I22" s="87"/>
      <c r="J22" s="42"/>
      <c r="K22" s="111"/>
      <c r="M22" s="87"/>
      <c r="O22" s="120"/>
      <c r="P22" s="42" t="str">
        <f t="shared" si="0"/>
        <v/>
      </c>
    </row>
    <row r="23" spans="1:22" ht="12.75" hidden="1" customHeight="1" x14ac:dyDescent="0.25">
      <c r="B23" s="110"/>
      <c r="C23" s="110"/>
      <c r="D23" s="110"/>
      <c r="E23" s="110"/>
      <c r="F23" s="110"/>
      <c r="G23" s="87"/>
      <c r="I23" s="87"/>
      <c r="K23" s="111"/>
      <c r="M23" s="87"/>
      <c r="O23" s="120"/>
      <c r="P23" s="42" t="str">
        <f t="shared" si="0"/>
        <v/>
      </c>
    </row>
    <row r="24" spans="1:22" ht="12.75" hidden="1" customHeight="1" x14ac:dyDescent="0.25">
      <c r="A24" s="42"/>
      <c r="B24" s="81"/>
      <c r="C24" s="81"/>
      <c r="D24" s="81"/>
      <c r="E24" s="81"/>
      <c r="F24" s="81"/>
      <c r="G24" s="87"/>
      <c r="I24" s="87"/>
      <c r="J24" s="42"/>
      <c r="K24" s="111"/>
      <c r="M24" s="87"/>
      <c r="O24" s="120"/>
      <c r="P24" s="42" t="str">
        <f t="shared" si="0"/>
        <v/>
      </c>
    </row>
    <row r="25" spans="1:22" ht="12.75" hidden="1" customHeight="1" x14ac:dyDescent="0.25">
      <c r="A25" s="42"/>
      <c r="B25" s="81"/>
      <c r="C25" s="81"/>
      <c r="D25" s="81"/>
      <c r="E25" s="81"/>
      <c r="F25" s="81"/>
      <c r="G25" s="87"/>
      <c r="I25" s="87"/>
      <c r="J25" s="42"/>
      <c r="K25" s="111"/>
      <c r="M25" s="87"/>
      <c r="O25" s="120"/>
      <c r="P25" s="42" t="str">
        <f t="shared" si="0"/>
        <v/>
      </c>
    </row>
    <row r="26" spans="1:22" ht="12.75" hidden="1" customHeight="1" x14ac:dyDescent="0.25">
      <c r="A26" s="42"/>
      <c r="B26" s="81"/>
      <c r="C26" s="81"/>
      <c r="D26" s="81"/>
      <c r="E26" s="81"/>
      <c r="F26" s="81"/>
      <c r="G26" s="87"/>
      <c r="I26" s="87"/>
      <c r="J26" s="42"/>
      <c r="K26" s="111"/>
      <c r="M26" s="87"/>
      <c r="O26" s="120"/>
      <c r="P26" s="42" t="str">
        <f t="shared" si="0"/>
        <v/>
      </c>
    </row>
    <row r="27" spans="1:22" ht="12.75" hidden="1" customHeight="1" x14ac:dyDescent="0.25">
      <c r="A27" s="42"/>
      <c r="B27" s="110"/>
      <c r="C27" s="110"/>
      <c r="D27" s="110"/>
      <c r="E27" s="110"/>
      <c r="F27"/>
      <c r="G27" s="87"/>
      <c r="I27" s="87"/>
      <c r="K27" s="111"/>
      <c r="M27" s="87"/>
      <c r="O27" s="120"/>
      <c r="P27" s="42" t="str">
        <f t="shared" si="0"/>
        <v/>
      </c>
    </row>
    <row r="28" spans="1:22" ht="12.75" hidden="1" customHeight="1" x14ac:dyDescent="0.25">
      <c r="A28" s="42"/>
      <c r="B28" s="81"/>
      <c r="C28" s="81"/>
      <c r="D28" s="81"/>
      <c r="E28" s="81"/>
      <c r="F28"/>
      <c r="G28" s="87"/>
      <c r="I28" s="87"/>
      <c r="J28" s="42"/>
      <c r="K28" s="111"/>
      <c r="M28" s="87"/>
      <c r="O28" s="92"/>
      <c r="P28" s="42" t="str">
        <f t="shared" si="0"/>
        <v/>
      </c>
    </row>
    <row r="29" spans="1:22" ht="12.75" hidden="1" customHeight="1" x14ac:dyDescent="0.25">
      <c r="A29" s="42"/>
      <c r="B29" s="81"/>
      <c r="C29" s="81"/>
      <c r="D29" s="81"/>
      <c r="E29" s="81"/>
      <c r="F29"/>
      <c r="G29" s="87"/>
      <c r="I29" s="87"/>
      <c r="J29" s="42"/>
      <c r="K29" s="111"/>
      <c r="M29" s="87"/>
      <c r="O29" s="92"/>
      <c r="P29" s="42" t="str">
        <f t="shared" si="0"/>
        <v/>
      </c>
    </row>
    <row r="30" spans="1:22" ht="12.75" hidden="1" customHeight="1" x14ac:dyDescent="0.25">
      <c r="A30" s="42"/>
      <c r="B30" s="81"/>
      <c r="C30" s="81"/>
      <c r="D30" s="81"/>
      <c r="E30" s="81"/>
      <c r="F30"/>
      <c r="G30" s="87"/>
      <c r="I30" s="87"/>
      <c r="J30" s="42"/>
      <c r="K30" s="111"/>
      <c r="M30" s="87"/>
      <c r="O30" s="92"/>
      <c r="P30" s="42" t="str">
        <f t="shared" si="0"/>
        <v/>
      </c>
    </row>
    <row r="31" spans="1:22" ht="12.75" hidden="1" customHeight="1" x14ac:dyDescent="0.25">
      <c r="A31" s="42"/>
      <c r="B31" s="81"/>
      <c r="C31" s="81"/>
      <c r="D31" s="81"/>
      <c r="E31" s="81"/>
      <c r="F31"/>
      <c r="G31" s="87"/>
      <c r="I31" s="87"/>
      <c r="J31" s="42"/>
      <c r="K31" s="111"/>
      <c r="M31" s="87"/>
      <c r="O31" s="92"/>
      <c r="P31" s="42" t="str">
        <f t="shared" si="0"/>
        <v/>
      </c>
    </row>
    <row r="32" spans="1:22" ht="12.75" customHeight="1" x14ac:dyDescent="0.25">
      <c r="A32" s="42"/>
      <c r="B32" s="81"/>
      <c r="C32" s="81"/>
      <c r="D32" s="81"/>
      <c r="E32" s="81"/>
      <c r="F32"/>
      <c r="G32" s="87"/>
      <c r="I32" s="87"/>
      <c r="J32" s="42"/>
      <c r="K32" s="87"/>
      <c r="M32" s="87"/>
      <c r="O32" s="22"/>
      <c r="P32" s="42" t="s">
        <v>189</v>
      </c>
    </row>
    <row r="33" spans="1:16" ht="12.75" customHeight="1" x14ac:dyDescent="0.25">
      <c r="A33" s="42"/>
      <c r="B33" s="81"/>
      <c r="C33" s="81"/>
      <c r="D33" s="81"/>
      <c r="E33" s="81"/>
      <c r="F33"/>
      <c r="G33" s="87">
        <f>SUM(G11:G31)</f>
        <v>0</v>
      </c>
      <c r="I33" s="87">
        <f>SUM(I11:I31)</f>
        <v>0</v>
      </c>
      <c r="J33" s="42"/>
      <c r="K33" s="87">
        <f>SUM(K10:K31)</f>
        <v>974538.07000000007</v>
      </c>
      <c r="M33" s="87">
        <f>SUM(M10:M31)</f>
        <v>871484.71843814675</v>
      </c>
      <c r="O33" s="22"/>
      <c r="P33" s="42" t="s">
        <v>189</v>
      </c>
    </row>
    <row r="34" spans="1:16" ht="12.75" hidden="1" customHeight="1" x14ac:dyDescent="0.25">
      <c r="A34" s="42"/>
      <c r="B34" s="81"/>
      <c r="C34" s="81"/>
      <c r="D34" s="81"/>
      <c r="E34" s="81"/>
      <c r="F34"/>
      <c r="G34" s="87"/>
      <c r="I34" s="87"/>
      <c r="J34" s="42"/>
      <c r="K34" s="87"/>
      <c r="M34" s="87"/>
      <c r="O34" s="22"/>
    </row>
    <row r="35" spans="1:16" ht="12.75" hidden="1" customHeight="1" x14ac:dyDescent="0.25">
      <c r="A35" s="42"/>
      <c r="B35" s="42"/>
      <c r="C35" s="42"/>
      <c r="D35" s="42"/>
      <c r="E35" s="42"/>
      <c r="F35"/>
      <c r="G35" s="59"/>
      <c r="H35" s="42"/>
      <c r="I35" s="44"/>
      <c r="J35" s="42"/>
      <c r="K35" s="45"/>
      <c r="M35" s="45"/>
      <c r="O35" s="22"/>
    </row>
    <row r="36" spans="1:16" ht="12.75" hidden="1" customHeight="1" x14ac:dyDescent="0.25">
      <c r="A36" s="42"/>
      <c r="B36" s="81"/>
      <c r="C36" s="81"/>
      <c r="D36" s="81"/>
      <c r="E36" s="81"/>
      <c r="F36"/>
      <c r="G36" s="87"/>
      <c r="I36" s="87"/>
      <c r="J36" s="42"/>
      <c r="K36" s="87"/>
      <c r="M36" s="87"/>
      <c r="O36" s="22"/>
    </row>
    <row r="37" spans="1:16" ht="12.75" hidden="1" customHeight="1" x14ac:dyDescent="0.25">
      <c r="A37" s="42"/>
      <c r="B37" s="81"/>
      <c r="C37" s="81"/>
      <c r="D37" s="81"/>
      <c r="E37" s="81"/>
      <c r="F37"/>
      <c r="G37" s="87"/>
      <c r="I37" s="87"/>
      <c r="J37" s="42"/>
      <c r="K37" s="87"/>
      <c r="M37" s="87"/>
      <c r="O37" s="22"/>
    </row>
    <row r="38" spans="1:16" ht="12.75" hidden="1" customHeight="1" x14ac:dyDescent="0.25">
      <c r="A38" s="42"/>
      <c r="B38" s="81"/>
      <c r="C38" s="81"/>
      <c r="D38" s="81"/>
      <c r="E38" s="81"/>
      <c r="F38"/>
      <c r="G38" s="87"/>
      <c r="I38" s="87"/>
      <c r="J38" s="42"/>
      <c r="K38" s="87"/>
      <c r="M38" s="87">
        <v>44.46</v>
      </c>
      <c r="O38" s="22"/>
    </row>
    <row r="39" spans="1:16" ht="12.75" hidden="1" customHeight="1" x14ac:dyDescent="0.25">
      <c r="A39" s="42"/>
      <c r="B39" s="81"/>
      <c r="C39" s="81"/>
      <c r="D39" s="81"/>
      <c r="E39" s="81"/>
      <c r="F39"/>
      <c r="G39" s="87"/>
      <c r="I39" s="87"/>
      <c r="J39" s="42"/>
      <c r="K39" s="87"/>
      <c r="M39" s="87">
        <v>43.48</v>
      </c>
      <c r="O39" s="22"/>
    </row>
    <row r="40" spans="1:16" ht="12.75" hidden="1" customHeight="1" x14ac:dyDescent="0.25">
      <c r="A40" s="42"/>
      <c r="B40" s="81"/>
      <c r="C40" s="81"/>
      <c r="D40" s="81"/>
      <c r="E40" s="81"/>
      <c r="F40"/>
      <c r="G40" s="87"/>
      <c r="I40" s="87"/>
      <c r="J40" s="42"/>
      <c r="K40" s="89"/>
      <c r="M40" s="89">
        <v>1.02</v>
      </c>
      <c r="O40" s="22"/>
    </row>
    <row r="41" spans="1:16" ht="12.75" hidden="1" customHeight="1" x14ac:dyDescent="0.25">
      <c r="A41" s="42"/>
      <c r="B41" s="81"/>
      <c r="C41" s="81"/>
      <c r="D41" s="81"/>
      <c r="E41" s="81"/>
      <c r="F41"/>
      <c r="G41" s="87"/>
      <c r="I41" s="87"/>
      <c r="J41" s="42"/>
      <c r="K41" s="89"/>
      <c r="M41" s="89">
        <v>1.01</v>
      </c>
      <c r="O41" s="22"/>
    </row>
    <row r="42" spans="1:16" ht="12.75" hidden="1" customHeight="1" x14ac:dyDescent="0.25">
      <c r="A42" s="42"/>
      <c r="B42" s="81"/>
      <c r="C42" s="81"/>
      <c r="D42" s="81"/>
      <c r="E42" s="81"/>
      <c r="F42" s="81"/>
      <c r="G42" s="87"/>
      <c r="I42" s="87"/>
      <c r="J42" s="42"/>
      <c r="K42" s="87"/>
      <c r="M42" s="126">
        <v>1.02</v>
      </c>
      <c r="O42" s="22"/>
    </row>
    <row r="43" spans="1:16" ht="12.75" hidden="1" customHeight="1" x14ac:dyDescent="0.25">
      <c r="A43" s="42"/>
      <c r="B43" s="81"/>
      <c r="C43" s="81"/>
      <c r="D43" s="81"/>
      <c r="E43" s="81"/>
      <c r="F43" s="81"/>
      <c r="G43" s="87"/>
      <c r="I43" s="87"/>
      <c r="J43" s="42"/>
      <c r="K43" s="87"/>
      <c r="M43" s="87"/>
      <c r="O43" s="22"/>
    </row>
    <row r="44" spans="1:16" ht="12.75" hidden="1" customHeight="1" x14ac:dyDescent="0.25">
      <c r="A44" s="42"/>
      <c r="B44" s="81"/>
      <c r="C44" s="81"/>
      <c r="D44" s="81"/>
      <c r="E44" s="81"/>
      <c r="F44" s="81"/>
      <c r="G44" s="87"/>
      <c r="I44" s="87"/>
      <c r="J44" s="42"/>
      <c r="K44" s="87"/>
      <c r="M44" s="87">
        <f>+K13</f>
        <v>606418.00000000012</v>
      </c>
      <c r="O44" s="22"/>
    </row>
    <row r="45" spans="1:16" ht="12.75" hidden="1" customHeight="1" x14ac:dyDescent="0.25">
      <c r="A45" s="42"/>
      <c r="B45" s="42"/>
      <c r="C45" s="42"/>
      <c r="D45" s="42"/>
      <c r="E45" s="42"/>
      <c r="F45" s="42"/>
      <c r="G45" s="59"/>
      <c r="H45" s="42"/>
      <c r="I45" s="44"/>
      <c r="J45" s="42"/>
      <c r="K45" s="45"/>
      <c r="M45" s="87">
        <f>+M44/EnrOld*EnrNew*RevInf</f>
        <v>604912.18472334684</v>
      </c>
      <c r="O45" s="22"/>
    </row>
    <row r="46" spans="1:16" ht="12.75" hidden="1" customHeight="1" x14ac:dyDescent="0.25">
      <c r="A46" s="42"/>
      <c r="B46" s="42"/>
      <c r="C46" s="42"/>
      <c r="D46" s="42"/>
      <c r="E46" s="42"/>
      <c r="F46" s="42"/>
      <c r="G46" s="59"/>
      <c r="H46" s="42"/>
      <c r="I46" s="44"/>
      <c r="J46" s="42"/>
      <c r="K46" s="45"/>
      <c r="M46" s="87">
        <f>+' Expense Input'!K28/'Rev Input'!M44*'Rev Input'!M13</f>
        <v>9370.3021958451081</v>
      </c>
      <c r="O46" s="22"/>
    </row>
    <row r="47" spans="1:16" ht="12.75" hidden="1" customHeight="1" x14ac:dyDescent="0.25">
      <c r="A47" s="42"/>
      <c r="B47" s="42"/>
      <c r="C47" s="42"/>
      <c r="D47" s="42"/>
      <c r="E47" s="42"/>
      <c r="F47" s="42"/>
      <c r="G47" s="59"/>
      <c r="H47" s="42"/>
      <c r="I47" s="44"/>
      <c r="J47" s="42"/>
      <c r="K47" s="45"/>
      <c r="M47" s="87"/>
      <c r="O47" s="22"/>
    </row>
    <row r="48" spans="1:16" ht="12.75" hidden="1" customHeight="1" x14ac:dyDescent="0.25">
      <c r="A48" s="42"/>
      <c r="B48" s="42"/>
      <c r="C48" s="42"/>
      <c r="D48" s="42"/>
      <c r="E48" s="42"/>
      <c r="F48" s="42"/>
      <c r="G48" s="59"/>
      <c r="H48" s="42"/>
      <c r="I48" s="44"/>
      <c r="J48" s="42"/>
      <c r="K48" s="45"/>
      <c r="M48" s="87">
        <f>+((M13-' Expense Input'!M28)*0.03)+(M12*0.05)</f>
        <v>22793.992630679262</v>
      </c>
      <c r="O48" s="22"/>
    </row>
    <row r="49" spans="1:15" ht="12.75" hidden="1" customHeight="1" x14ac:dyDescent="0.25">
      <c r="A49" s="42"/>
      <c r="B49" s="42"/>
      <c r="C49" s="42"/>
      <c r="D49" s="42"/>
      <c r="E49" s="42"/>
      <c r="F49" s="42"/>
      <c r="G49" s="59"/>
      <c r="H49" s="42"/>
      <c r="I49" s="45"/>
      <c r="J49" s="42"/>
      <c r="K49" s="45"/>
      <c r="M49" s="45"/>
      <c r="O49" s="22"/>
    </row>
    <row r="50" spans="1:15" ht="12.75" hidden="1" customHeight="1" x14ac:dyDescent="0.25">
      <c r="A50" s="42"/>
      <c r="B50" s="42"/>
      <c r="C50" s="42"/>
      <c r="D50" s="42"/>
      <c r="E50" s="42"/>
      <c r="F50" s="42"/>
      <c r="G50" s="59"/>
      <c r="H50" s="42"/>
      <c r="I50" s="44"/>
      <c r="J50" s="42"/>
      <c r="K50" s="45"/>
      <c r="M50" s="45"/>
      <c r="O50" s="22"/>
    </row>
    <row r="51" spans="1:15" ht="12.75" hidden="1" customHeight="1" x14ac:dyDescent="0.25">
      <c r="A51" s="42"/>
      <c r="B51" s="42"/>
      <c r="C51" s="42"/>
      <c r="D51" s="42"/>
      <c r="E51" s="42"/>
      <c r="F51" s="42"/>
      <c r="G51" s="59"/>
      <c r="H51" s="42"/>
      <c r="I51" s="44"/>
      <c r="J51" s="42"/>
      <c r="K51" s="45"/>
      <c r="M51" s="45"/>
      <c r="O51" s="22"/>
    </row>
    <row r="52" spans="1:15" ht="12.75" hidden="1" customHeight="1" x14ac:dyDescent="0.25">
      <c r="A52" s="42"/>
      <c r="B52" s="42"/>
      <c r="C52" s="42"/>
      <c r="D52" s="42"/>
      <c r="E52" s="42"/>
      <c r="F52" s="42"/>
      <c r="G52" s="59"/>
      <c r="H52" s="42"/>
      <c r="I52" s="44"/>
      <c r="J52" s="42"/>
      <c r="K52" s="45"/>
      <c r="M52" s="45"/>
      <c r="O52" s="22"/>
    </row>
    <row r="53" spans="1:15" ht="12.75" hidden="1" customHeight="1" x14ac:dyDescent="0.25">
      <c r="A53" s="42"/>
      <c r="B53" s="42"/>
      <c r="C53" s="42"/>
      <c r="D53" s="42"/>
      <c r="E53" s="42"/>
      <c r="F53" s="42"/>
      <c r="G53" s="59"/>
      <c r="H53" s="42"/>
      <c r="I53" s="44"/>
      <c r="J53" s="42"/>
      <c r="K53" s="45"/>
      <c r="M53" s="45"/>
      <c r="O53" s="22"/>
    </row>
    <row r="54" spans="1:15" ht="12.75" hidden="1" customHeight="1" x14ac:dyDescent="0.25">
      <c r="A54" s="42"/>
      <c r="B54" s="42"/>
      <c r="C54" s="42"/>
      <c r="D54" s="42"/>
      <c r="E54" s="42"/>
      <c r="F54" s="42"/>
      <c r="G54" s="59"/>
      <c r="H54" s="42"/>
      <c r="I54" s="44"/>
      <c r="J54" s="42"/>
      <c r="K54" s="45"/>
      <c r="M54" s="45"/>
      <c r="O54" s="22"/>
    </row>
    <row r="55" spans="1:15" ht="12.75" hidden="1" customHeight="1" x14ac:dyDescent="0.25">
      <c r="A55" s="42"/>
      <c r="B55" s="42"/>
      <c r="C55" s="42"/>
      <c r="D55" s="42"/>
      <c r="E55" s="42"/>
      <c r="F55" s="42"/>
      <c r="G55" s="59"/>
      <c r="H55" s="42"/>
      <c r="I55" s="44"/>
      <c r="J55" s="42"/>
      <c r="K55" s="45"/>
      <c r="M55" s="45"/>
      <c r="O55" s="22"/>
    </row>
    <row r="56" spans="1:15" ht="12.75" hidden="1" customHeight="1" x14ac:dyDescent="0.25">
      <c r="A56" s="42"/>
      <c r="B56" s="42"/>
      <c r="C56" s="42"/>
      <c r="D56" s="42"/>
      <c r="E56" s="42"/>
      <c r="F56" s="42"/>
      <c r="G56" s="59"/>
      <c r="H56" s="42"/>
      <c r="I56" s="44"/>
      <c r="J56" s="42"/>
      <c r="K56" s="45"/>
      <c r="M56" s="45"/>
      <c r="O56" s="22"/>
    </row>
    <row r="57" spans="1:15" ht="12.75" hidden="1" customHeight="1" x14ac:dyDescent="0.25">
      <c r="A57" s="42"/>
      <c r="B57" s="42"/>
      <c r="C57" s="42"/>
      <c r="D57" s="42"/>
      <c r="E57" s="42"/>
      <c r="F57" s="42"/>
      <c r="G57" s="59"/>
      <c r="H57" s="42"/>
      <c r="I57" s="44"/>
      <c r="J57" s="42"/>
      <c r="K57" s="45"/>
      <c r="M57" s="45"/>
      <c r="O57" s="22"/>
    </row>
    <row r="58" spans="1:15" ht="12.75" hidden="1" customHeight="1" x14ac:dyDescent="0.25">
      <c r="A58" s="42"/>
      <c r="B58" s="42"/>
      <c r="C58" s="42"/>
      <c r="D58" s="42"/>
      <c r="E58" s="42"/>
      <c r="F58" s="42"/>
      <c r="G58" s="59"/>
      <c r="H58" s="42"/>
      <c r="I58" s="44"/>
      <c r="J58" s="42"/>
      <c r="K58" s="45"/>
      <c r="M58" s="45"/>
      <c r="O58" s="22"/>
    </row>
    <row r="59" spans="1:15" ht="12.75" hidden="1" customHeight="1" x14ac:dyDescent="0.25">
      <c r="A59" s="42"/>
      <c r="B59" s="42"/>
      <c r="C59" s="42"/>
      <c r="D59" s="42"/>
      <c r="E59" s="42"/>
      <c r="F59" s="42"/>
      <c r="G59" s="59"/>
      <c r="H59" s="42"/>
      <c r="I59" s="44"/>
      <c r="J59" s="42"/>
      <c r="K59" s="45"/>
      <c r="M59" s="45"/>
      <c r="O59" s="22"/>
    </row>
    <row r="60" spans="1:15" ht="12.75" hidden="1" customHeight="1" x14ac:dyDescent="0.25">
      <c r="A60" s="42"/>
      <c r="B60" s="42"/>
      <c r="C60" s="42"/>
      <c r="D60" s="42"/>
      <c r="E60" s="42"/>
      <c r="F60" s="42"/>
      <c r="G60" s="59"/>
      <c r="H60" s="42"/>
      <c r="I60" s="44"/>
      <c r="J60" s="42"/>
      <c r="K60" s="45"/>
      <c r="M60" s="45"/>
      <c r="O60" s="22"/>
    </row>
    <row r="61" spans="1:15" ht="12.75" hidden="1" customHeight="1" x14ac:dyDescent="0.25">
      <c r="A61" s="42"/>
      <c r="B61" s="42"/>
      <c r="C61" s="42"/>
      <c r="D61" s="42"/>
      <c r="E61" s="42"/>
      <c r="F61" s="42"/>
      <c r="G61" s="59"/>
      <c r="H61" s="42"/>
      <c r="I61" s="44"/>
      <c r="J61" s="42"/>
      <c r="K61" s="45"/>
      <c r="M61" s="45"/>
      <c r="O61" s="22"/>
    </row>
    <row r="62" spans="1:15" ht="12.75" hidden="1" customHeight="1" x14ac:dyDescent="0.25">
      <c r="A62" s="42"/>
      <c r="B62" s="42"/>
      <c r="C62" s="42"/>
      <c r="D62" s="42"/>
      <c r="E62" s="42"/>
      <c r="F62" s="42"/>
      <c r="G62" s="59"/>
      <c r="H62" s="42"/>
      <c r="I62" s="44"/>
      <c r="J62" s="42"/>
      <c r="K62" s="45"/>
      <c r="M62" s="45"/>
      <c r="O62" s="22"/>
    </row>
    <row r="63" spans="1:15" ht="12.75" hidden="1" customHeight="1" x14ac:dyDescent="0.25">
      <c r="A63" s="42"/>
      <c r="B63" s="42"/>
      <c r="C63" s="42"/>
      <c r="D63" s="42"/>
      <c r="E63" s="42"/>
      <c r="F63" s="42"/>
      <c r="G63" s="59"/>
      <c r="H63" s="42"/>
      <c r="I63" s="44"/>
      <c r="J63" s="42"/>
      <c r="K63" s="45"/>
      <c r="M63" s="45"/>
      <c r="O63" s="22"/>
    </row>
    <row r="64" spans="1:15" ht="12.75" hidden="1" customHeight="1" x14ac:dyDescent="0.25">
      <c r="A64" s="42"/>
      <c r="B64" s="42"/>
      <c r="C64" s="42"/>
      <c r="D64" s="42"/>
      <c r="E64" s="42"/>
      <c r="F64" s="42"/>
      <c r="G64" s="59"/>
      <c r="H64" s="42"/>
      <c r="I64" s="44"/>
      <c r="J64" s="42"/>
      <c r="K64" s="45"/>
      <c r="M64" s="45"/>
      <c r="O64" s="22"/>
    </row>
    <row r="65" spans="1:15" ht="12.75" hidden="1" customHeight="1" x14ac:dyDescent="0.25">
      <c r="A65" s="42"/>
      <c r="B65" s="42"/>
      <c r="C65" s="42"/>
      <c r="D65" s="42"/>
      <c r="E65" s="42"/>
      <c r="F65" s="42"/>
      <c r="G65" s="59"/>
      <c r="H65" s="42"/>
      <c r="I65" s="44"/>
      <c r="J65" s="42"/>
      <c r="K65" s="45"/>
      <c r="M65" s="45"/>
      <c r="O65" s="22"/>
    </row>
    <row r="66" spans="1:15" ht="12.75" hidden="1" customHeight="1" x14ac:dyDescent="0.25">
      <c r="A66" s="42"/>
      <c r="B66" s="42"/>
      <c r="C66" s="42"/>
      <c r="D66" s="42"/>
      <c r="E66" s="42"/>
      <c r="F66" s="42"/>
      <c r="G66" s="59"/>
      <c r="H66" s="42"/>
      <c r="I66" s="44"/>
      <c r="J66" s="42"/>
      <c r="K66" s="45"/>
      <c r="M66" s="45"/>
      <c r="O66" s="22"/>
    </row>
    <row r="67" spans="1:15" ht="12.75" hidden="1" customHeight="1" x14ac:dyDescent="0.25">
      <c r="A67" s="42"/>
      <c r="B67" s="42"/>
      <c r="C67" s="42"/>
      <c r="D67" s="42"/>
      <c r="E67" s="42"/>
      <c r="F67" s="42"/>
      <c r="G67" s="59"/>
      <c r="H67" s="42"/>
      <c r="I67" s="44"/>
      <c r="J67" s="42"/>
      <c r="K67" s="45"/>
      <c r="M67" s="45"/>
      <c r="O67" s="22"/>
    </row>
    <row r="68" spans="1:15" ht="12.75" hidden="1" customHeight="1" x14ac:dyDescent="0.25">
      <c r="A68" s="42"/>
      <c r="B68" s="42"/>
      <c r="C68" s="42"/>
      <c r="D68" s="42"/>
      <c r="E68" s="42"/>
      <c r="F68" s="42"/>
      <c r="G68" s="59"/>
      <c r="H68" s="42"/>
      <c r="I68" s="44"/>
      <c r="J68" s="42"/>
      <c r="K68" s="45"/>
      <c r="M68" s="45"/>
      <c r="O68" s="22"/>
    </row>
    <row r="69" spans="1:15" ht="12.75" hidden="1" customHeight="1" x14ac:dyDescent="0.25">
      <c r="A69" s="42"/>
      <c r="B69" s="42"/>
      <c r="C69" s="42"/>
      <c r="D69" s="42"/>
      <c r="E69" s="42"/>
      <c r="F69" s="42"/>
      <c r="G69" s="59"/>
      <c r="H69" s="42"/>
      <c r="I69" s="45"/>
      <c r="J69" s="42"/>
      <c r="K69" s="45"/>
      <c r="M69" s="45"/>
      <c r="O69" s="22"/>
    </row>
    <row r="70" spans="1:15" ht="12.75" hidden="1" customHeight="1" x14ac:dyDescent="0.25">
      <c r="A70" s="42"/>
      <c r="B70" s="42"/>
      <c r="C70" s="42"/>
      <c r="D70" s="42"/>
      <c r="E70" s="42"/>
      <c r="F70" s="42"/>
      <c r="G70" s="59"/>
      <c r="H70" s="42"/>
      <c r="I70" s="44"/>
      <c r="J70" s="42"/>
      <c r="K70" s="45"/>
      <c r="M70" s="45"/>
      <c r="O70" s="22"/>
    </row>
    <row r="71" spans="1:15" ht="12.75" hidden="1" customHeight="1" x14ac:dyDescent="0.25">
      <c r="A71" s="42"/>
      <c r="B71" s="42"/>
      <c r="C71" s="42"/>
      <c r="D71" s="42"/>
      <c r="E71" s="42"/>
      <c r="F71" s="42"/>
      <c r="G71" s="59"/>
      <c r="H71" s="42"/>
      <c r="I71" s="44"/>
      <c r="J71" s="42"/>
      <c r="K71" s="45"/>
      <c r="M71" s="45"/>
      <c r="O71" s="22"/>
    </row>
    <row r="72" spans="1:15" ht="12.75" hidden="1" customHeight="1" x14ac:dyDescent="0.25">
      <c r="A72" s="42"/>
      <c r="B72" s="42"/>
      <c r="C72" s="42"/>
      <c r="D72" s="42"/>
      <c r="E72" s="42"/>
      <c r="F72" s="42"/>
      <c r="G72" s="59"/>
      <c r="H72" s="42"/>
      <c r="I72" s="44"/>
      <c r="J72" s="42"/>
      <c r="K72" s="45"/>
      <c r="M72" s="45"/>
      <c r="O72" s="22"/>
    </row>
    <row r="73" spans="1:15" ht="12.75" hidden="1" customHeight="1" x14ac:dyDescent="0.25">
      <c r="A73" s="42"/>
      <c r="B73" s="42"/>
      <c r="C73" s="42"/>
      <c r="D73" s="42"/>
      <c r="E73" s="42"/>
      <c r="F73" s="42"/>
      <c r="G73" s="59"/>
      <c r="H73" s="42"/>
      <c r="I73" s="44"/>
      <c r="J73" s="42"/>
      <c r="K73" s="45"/>
      <c r="M73" s="45"/>
      <c r="O73" s="22"/>
    </row>
    <row r="74" spans="1:15" ht="12.75" hidden="1" customHeight="1" x14ac:dyDescent="0.25">
      <c r="A74" s="42"/>
      <c r="B74" s="42"/>
      <c r="C74" s="42"/>
      <c r="D74" s="42"/>
      <c r="E74" s="42"/>
      <c r="F74" s="42"/>
      <c r="G74" s="59"/>
      <c r="H74" s="42"/>
      <c r="I74" s="44"/>
      <c r="J74" s="42"/>
      <c r="K74" s="45"/>
      <c r="M74" s="45"/>
      <c r="O74" s="22"/>
    </row>
    <row r="75" spans="1:15" ht="12.75" hidden="1" customHeight="1" x14ac:dyDescent="0.25">
      <c r="A75" s="42"/>
      <c r="B75" s="60"/>
      <c r="C75" s="60"/>
      <c r="D75" s="60"/>
      <c r="E75" s="60"/>
      <c r="F75" s="42"/>
      <c r="G75" s="59"/>
      <c r="H75" s="42"/>
      <c r="I75" s="44"/>
      <c r="J75" s="42"/>
      <c r="K75" s="45"/>
      <c r="M75" s="45"/>
      <c r="O75" s="22"/>
    </row>
    <row r="76" spans="1:15" ht="12.75" hidden="1" customHeight="1" x14ac:dyDescent="0.25">
      <c r="A76" s="42"/>
      <c r="B76" s="42"/>
      <c r="C76" s="42"/>
      <c r="D76" s="42"/>
      <c r="E76" s="42"/>
      <c r="F76" s="42"/>
      <c r="G76" s="59"/>
      <c r="H76" s="42"/>
      <c r="I76" s="44"/>
      <c r="J76" s="42"/>
      <c r="K76" s="45"/>
      <c r="M76" s="45"/>
      <c r="O76" s="22"/>
    </row>
    <row r="77" spans="1:15" ht="12.75" hidden="1" customHeight="1" x14ac:dyDescent="0.25">
      <c r="A77" s="42"/>
      <c r="B77" s="42"/>
      <c r="C77" s="42"/>
      <c r="D77" s="42"/>
      <c r="E77" s="42"/>
      <c r="F77" s="42"/>
      <c r="G77" s="59"/>
      <c r="H77" s="42"/>
      <c r="I77" s="44"/>
      <c r="J77" s="42"/>
      <c r="K77" s="45"/>
      <c r="M77" s="45"/>
      <c r="O77" s="22"/>
    </row>
    <row r="78" spans="1:15" ht="12.75" hidden="1" customHeight="1" x14ac:dyDescent="0.25">
      <c r="A78" s="42"/>
      <c r="B78" s="42"/>
      <c r="C78" s="42"/>
      <c r="D78" s="42"/>
      <c r="E78" s="42"/>
      <c r="F78" s="42"/>
      <c r="G78" s="59"/>
      <c r="H78" s="42"/>
      <c r="I78" s="44"/>
      <c r="J78" s="42"/>
      <c r="K78" s="45"/>
      <c r="M78" s="45"/>
      <c r="O78" s="22"/>
    </row>
    <row r="79" spans="1:15" ht="12.75" hidden="1" customHeight="1" x14ac:dyDescent="0.25">
      <c r="A79" s="42"/>
      <c r="B79" s="42"/>
      <c r="C79" s="42"/>
      <c r="D79" s="42"/>
      <c r="E79" s="42"/>
      <c r="F79" s="42"/>
      <c r="G79" s="59"/>
      <c r="H79" s="42"/>
      <c r="I79" s="44"/>
      <c r="J79" s="42"/>
      <c r="K79" s="45"/>
      <c r="M79" s="45"/>
      <c r="O79" s="22"/>
    </row>
    <row r="80" spans="1:15" ht="12.75" hidden="1" customHeight="1" x14ac:dyDescent="0.25">
      <c r="A80" s="42"/>
      <c r="B80" s="42"/>
      <c r="C80" s="42"/>
      <c r="D80" s="42"/>
      <c r="E80" s="42"/>
      <c r="F80" s="42"/>
      <c r="G80" s="59"/>
      <c r="H80" s="42"/>
      <c r="I80" s="44"/>
      <c r="J80" s="42"/>
      <c r="K80" s="45"/>
      <c r="M80" s="45"/>
      <c r="O80" s="22"/>
    </row>
    <row r="81" spans="1:15" ht="12.75" hidden="1" customHeight="1" x14ac:dyDescent="0.25">
      <c r="A81" s="42"/>
      <c r="B81" s="42"/>
      <c r="C81" s="42"/>
      <c r="D81" s="42"/>
      <c r="E81" s="42"/>
      <c r="F81" s="42"/>
      <c r="G81" s="59"/>
      <c r="H81" s="42"/>
      <c r="I81" s="44"/>
      <c r="J81" s="42"/>
      <c r="K81" s="45"/>
      <c r="M81" s="45"/>
      <c r="O81" s="22"/>
    </row>
    <row r="82" spans="1:15" ht="12.75" hidden="1" customHeight="1" x14ac:dyDescent="0.25">
      <c r="A82" s="42"/>
      <c r="B82" s="42"/>
      <c r="C82" s="42"/>
      <c r="D82" s="42"/>
      <c r="E82" s="42"/>
      <c r="F82" s="42"/>
      <c r="G82" s="59"/>
      <c r="H82" s="42"/>
      <c r="I82" s="44"/>
      <c r="J82" s="42"/>
      <c r="K82" s="45"/>
      <c r="M82" s="45"/>
      <c r="O82" s="22"/>
    </row>
    <row r="83" spans="1:15" ht="12.75" hidden="1" customHeight="1" x14ac:dyDescent="0.25">
      <c r="A83" s="42"/>
      <c r="B83" s="42"/>
      <c r="C83" s="42"/>
      <c r="D83" s="42"/>
      <c r="E83" s="42"/>
      <c r="F83" s="42"/>
      <c r="G83" s="59"/>
      <c r="H83" s="42"/>
      <c r="I83" s="44"/>
      <c r="J83" s="42"/>
      <c r="K83" s="45"/>
      <c r="M83" s="45"/>
      <c r="O83" s="22"/>
    </row>
    <row r="84" spans="1:15" ht="12.75" hidden="1" customHeight="1" x14ac:dyDescent="0.25">
      <c r="A84" s="42"/>
      <c r="B84" s="42"/>
      <c r="C84" s="42"/>
      <c r="D84" s="42"/>
      <c r="E84" s="42"/>
      <c r="F84" s="42"/>
      <c r="G84" s="59"/>
      <c r="H84" s="42"/>
      <c r="I84" s="44"/>
      <c r="J84" s="42"/>
      <c r="K84" s="45"/>
      <c r="M84" s="45"/>
      <c r="O84" s="22"/>
    </row>
    <row r="85" spans="1:15" ht="12.75" hidden="1" customHeight="1" x14ac:dyDescent="0.25">
      <c r="A85" s="42"/>
      <c r="B85" s="42"/>
      <c r="C85" s="42"/>
      <c r="D85" s="42"/>
      <c r="E85" s="42"/>
      <c r="F85" s="42"/>
      <c r="G85" s="59"/>
      <c r="H85" s="42"/>
      <c r="I85" s="44"/>
      <c r="J85" s="42"/>
      <c r="K85" s="45"/>
      <c r="M85" s="45"/>
      <c r="O85" s="22"/>
    </row>
    <row r="86" spans="1:15" ht="12.75" hidden="1" customHeight="1" x14ac:dyDescent="0.25">
      <c r="A86" s="42"/>
      <c r="B86" s="42"/>
      <c r="C86" s="42"/>
      <c r="D86" s="42"/>
      <c r="E86" s="42"/>
      <c r="F86" s="42"/>
      <c r="G86" s="59"/>
      <c r="H86" s="42"/>
      <c r="I86" s="44"/>
      <c r="J86" s="42"/>
      <c r="K86" s="45"/>
      <c r="M86" s="45"/>
      <c r="O86" s="22"/>
    </row>
    <row r="87" spans="1:15" ht="12.75" hidden="1" customHeight="1" x14ac:dyDescent="0.25">
      <c r="A87" s="42"/>
      <c r="B87" s="42"/>
      <c r="C87" s="42"/>
      <c r="D87" s="42"/>
      <c r="E87" s="42"/>
      <c r="F87" s="42"/>
      <c r="G87" s="59"/>
      <c r="H87" s="42"/>
      <c r="I87" s="44"/>
      <c r="J87" s="42"/>
      <c r="K87" s="45"/>
      <c r="M87" s="45"/>
      <c r="O87" s="22"/>
    </row>
    <row r="88" spans="1:15" ht="12.75" hidden="1" customHeight="1" x14ac:dyDescent="0.25">
      <c r="A88" s="42"/>
      <c r="B88" s="42"/>
      <c r="C88" s="42"/>
      <c r="D88" s="42"/>
      <c r="E88" s="42"/>
      <c r="F88" s="42"/>
      <c r="G88" s="59"/>
      <c r="H88" s="42"/>
      <c r="I88" s="44"/>
      <c r="J88" s="42"/>
      <c r="K88" s="45"/>
      <c r="M88" s="45"/>
      <c r="O88" s="22"/>
    </row>
    <row r="89" spans="1:15" ht="12.75" hidden="1" customHeight="1" x14ac:dyDescent="0.25">
      <c r="A89" s="42"/>
      <c r="B89" s="60"/>
      <c r="C89" s="60"/>
      <c r="D89" s="60"/>
      <c r="E89" s="60"/>
      <c r="F89" s="42"/>
      <c r="G89" s="59"/>
      <c r="H89" s="42"/>
      <c r="I89" s="44"/>
      <c r="J89" s="42"/>
      <c r="K89" s="45"/>
      <c r="M89" s="45"/>
      <c r="O89" s="22"/>
    </row>
    <row r="90" spans="1:15" ht="12.75" hidden="1" customHeight="1" x14ac:dyDescent="0.25">
      <c r="A90" s="42"/>
      <c r="B90" s="42"/>
      <c r="C90" s="42"/>
      <c r="D90" s="42"/>
      <c r="E90" s="42"/>
      <c r="F90" s="42"/>
      <c r="G90" s="59"/>
      <c r="H90" s="42"/>
      <c r="I90" s="44"/>
      <c r="J90" s="42"/>
      <c r="K90" s="45"/>
      <c r="M90" s="45"/>
      <c r="O90" s="22"/>
    </row>
    <row r="91" spans="1:15" ht="12.75" hidden="1" customHeight="1" x14ac:dyDescent="0.25">
      <c r="A91" s="42"/>
      <c r="B91" s="42"/>
      <c r="C91" s="42"/>
      <c r="D91" s="42"/>
      <c r="E91" s="42"/>
      <c r="F91" s="42"/>
      <c r="G91" s="59"/>
      <c r="H91" s="42"/>
      <c r="I91" s="44"/>
      <c r="J91" s="42"/>
      <c r="K91" s="45"/>
      <c r="M91" s="45"/>
      <c r="O91" s="22"/>
    </row>
    <row r="92" spans="1:15" ht="12.75" hidden="1" customHeight="1" x14ac:dyDescent="0.25">
      <c r="A92" s="42"/>
      <c r="B92" s="42"/>
      <c r="C92" s="42"/>
      <c r="D92" s="42"/>
      <c r="E92" s="42"/>
      <c r="F92" s="42"/>
      <c r="G92" s="59"/>
      <c r="H92" s="42"/>
      <c r="I92" s="44"/>
      <c r="J92" s="42"/>
      <c r="K92" s="45"/>
      <c r="M92" s="45"/>
      <c r="O92" s="22"/>
    </row>
    <row r="93" spans="1:15" ht="12.75" hidden="1" customHeight="1" x14ac:dyDescent="0.25">
      <c r="A93" s="42"/>
      <c r="B93" s="42"/>
      <c r="C93" s="42"/>
      <c r="D93" s="42"/>
      <c r="E93" s="42"/>
      <c r="F93" s="42"/>
      <c r="G93" s="59"/>
      <c r="H93" s="42"/>
      <c r="I93" s="44"/>
      <c r="J93" s="42"/>
      <c r="K93" s="45"/>
      <c r="M93" s="45"/>
      <c r="O93" s="22"/>
    </row>
    <row r="94" spans="1:15" ht="12.75" hidden="1" customHeight="1" x14ac:dyDescent="0.25">
      <c r="A94" s="42"/>
      <c r="B94" s="42"/>
      <c r="C94" s="42"/>
      <c r="D94" s="42"/>
      <c r="E94" s="42"/>
      <c r="F94" s="42"/>
      <c r="G94" s="59"/>
      <c r="H94" s="42"/>
      <c r="I94" s="44"/>
      <c r="J94" s="42"/>
      <c r="K94" s="45"/>
      <c r="M94" s="45"/>
      <c r="O94" s="22"/>
    </row>
    <row r="95" spans="1:15" ht="12.75" hidden="1" customHeight="1" x14ac:dyDescent="0.25">
      <c r="A95" s="42"/>
      <c r="B95" s="42"/>
      <c r="C95" s="42"/>
      <c r="D95" s="42"/>
      <c r="E95" s="42"/>
      <c r="F95" s="42"/>
      <c r="G95" s="59"/>
      <c r="H95" s="42"/>
      <c r="I95" s="44"/>
      <c r="J95" s="42"/>
      <c r="K95" s="45"/>
      <c r="M95" s="45"/>
      <c r="O95" s="22"/>
    </row>
    <row r="96" spans="1:15" ht="12.75" hidden="1" customHeight="1" x14ac:dyDescent="0.25">
      <c r="A96" s="42"/>
      <c r="B96" s="42"/>
      <c r="C96" s="42"/>
      <c r="D96" s="42"/>
      <c r="E96" s="42"/>
      <c r="F96" s="42"/>
      <c r="G96" s="59"/>
      <c r="H96" s="42"/>
      <c r="I96" s="44"/>
      <c r="J96" s="42"/>
      <c r="K96" s="45"/>
      <c r="M96" s="45"/>
      <c r="O96" s="22"/>
    </row>
    <row r="97" spans="1:15" ht="12.75" hidden="1" customHeight="1" x14ac:dyDescent="0.25">
      <c r="A97" s="42"/>
      <c r="B97" s="42"/>
      <c r="C97" s="42"/>
      <c r="D97" s="42"/>
      <c r="E97" s="42"/>
      <c r="F97" s="42"/>
      <c r="G97" s="59"/>
      <c r="H97" s="42"/>
      <c r="I97" s="44"/>
      <c r="J97" s="42"/>
      <c r="K97" s="45"/>
      <c r="M97" s="45"/>
      <c r="O97" s="22"/>
    </row>
    <row r="98" spans="1:15" ht="12.75" hidden="1" customHeight="1" x14ac:dyDescent="0.25">
      <c r="A98" s="42"/>
      <c r="B98" s="42"/>
      <c r="C98" s="42"/>
      <c r="D98" s="42"/>
      <c r="E98" s="42"/>
      <c r="F98" s="42"/>
      <c r="G98" s="59"/>
      <c r="H98" s="42"/>
      <c r="I98" s="44"/>
      <c r="J98" s="42"/>
      <c r="K98" s="45"/>
      <c r="M98" s="45"/>
      <c r="O98" s="22"/>
    </row>
    <row r="99" spans="1:15" ht="12.75" hidden="1" customHeight="1" x14ac:dyDescent="0.25">
      <c r="A99" s="42"/>
      <c r="B99" s="42"/>
      <c r="C99" s="42"/>
      <c r="D99" s="42"/>
      <c r="E99" s="42"/>
      <c r="F99" s="42"/>
      <c r="G99" s="59"/>
      <c r="H99" s="42"/>
      <c r="I99" s="44"/>
      <c r="J99" s="42"/>
      <c r="K99" s="45"/>
      <c r="M99" s="45"/>
      <c r="O99" s="22"/>
    </row>
    <row r="100" spans="1:15" ht="12.75" hidden="1" customHeight="1" x14ac:dyDescent="0.25">
      <c r="A100" s="42"/>
      <c r="B100" s="42"/>
      <c r="C100" s="42"/>
      <c r="D100" s="42"/>
      <c r="E100" s="42"/>
      <c r="F100" s="42"/>
      <c r="G100" s="59"/>
      <c r="H100" s="42"/>
      <c r="I100" s="44"/>
      <c r="J100" s="42"/>
      <c r="K100" s="45"/>
      <c r="M100" s="45"/>
      <c r="O100" s="22"/>
    </row>
    <row r="101" spans="1:15" ht="12.75" hidden="1" customHeight="1" x14ac:dyDescent="0.25">
      <c r="A101" s="42"/>
      <c r="B101" s="42"/>
      <c r="C101" s="42"/>
      <c r="D101" s="42"/>
      <c r="E101" s="42"/>
      <c r="F101" s="42"/>
      <c r="G101" s="59"/>
      <c r="H101" s="42"/>
      <c r="I101" s="44"/>
      <c r="J101" s="42"/>
      <c r="K101" s="45"/>
      <c r="M101" s="45"/>
      <c r="O101" s="22"/>
    </row>
    <row r="102" spans="1:15" ht="12.75" hidden="1" customHeight="1" x14ac:dyDescent="0.25">
      <c r="A102" s="42"/>
      <c r="B102" s="42"/>
      <c r="C102" s="42"/>
      <c r="D102" s="42"/>
      <c r="E102" s="42"/>
      <c r="F102" s="42"/>
      <c r="G102" s="59"/>
      <c r="H102" s="42"/>
      <c r="I102" s="44"/>
      <c r="J102" s="42"/>
      <c r="K102" s="45"/>
      <c r="M102" s="45"/>
      <c r="O102" s="22"/>
    </row>
    <row r="103" spans="1:15" ht="12.75" hidden="1" customHeight="1" x14ac:dyDescent="0.25">
      <c r="A103" s="42"/>
      <c r="B103" s="42"/>
      <c r="C103" s="42"/>
      <c r="D103" s="42"/>
      <c r="E103" s="42"/>
      <c r="F103" s="42"/>
      <c r="G103" s="59"/>
      <c r="H103" s="42"/>
      <c r="I103" s="44"/>
      <c r="J103" s="42"/>
      <c r="K103" s="45"/>
      <c r="M103" s="45"/>
      <c r="O103" s="22"/>
    </row>
    <row r="104" spans="1:15" ht="12.75" hidden="1" customHeight="1" x14ac:dyDescent="0.25">
      <c r="A104" s="42"/>
      <c r="B104" s="42"/>
      <c r="C104" s="42"/>
      <c r="D104" s="42"/>
      <c r="E104" s="42"/>
      <c r="F104" s="42"/>
      <c r="G104" s="59"/>
      <c r="H104" s="42"/>
      <c r="I104" s="44"/>
      <c r="J104" s="42"/>
      <c r="K104" s="45"/>
      <c r="M104" s="45"/>
      <c r="O104" s="22"/>
    </row>
    <row r="105" spans="1:15" ht="12.75" hidden="1" customHeight="1" x14ac:dyDescent="0.25">
      <c r="A105" s="42"/>
      <c r="B105" s="42"/>
      <c r="C105" s="42"/>
      <c r="D105" s="42"/>
      <c r="E105" s="42"/>
      <c r="F105" s="42"/>
      <c r="G105" s="59"/>
      <c r="H105" s="42"/>
      <c r="I105" s="44"/>
      <c r="J105" s="42"/>
      <c r="K105" s="45"/>
      <c r="M105" s="45"/>
      <c r="O105" s="22"/>
    </row>
    <row r="106" spans="1:15" ht="12.75" hidden="1" customHeight="1" x14ac:dyDescent="0.25">
      <c r="A106" s="42"/>
      <c r="B106" s="42"/>
      <c r="C106" s="42"/>
      <c r="D106" s="42"/>
      <c r="E106" s="42"/>
      <c r="F106" s="42"/>
      <c r="G106" s="59"/>
      <c r="H106" s="42"/>
      <c r="I106" s="44"/>
      <c r="J106" s="42"/>
      <c r="K106" s="45"/>
      <c r="M106" s="45"/>
      <c r="O106" s="22"/>
    </row>
    <row r="107" spans="1:15" ht="12.75" hidden="1" customHeight="1" x14ac:dyDescent="0.25">
      <c r="A107" s="42"/>
      <c r="B107" s="42"/>
      <c r="C107" s="42"/>
      <c r="D107" s="42"/>
      <c r="E107" s="42"/>
      <c r="F107" s="42"/>
      <c r="G107" s="59"/>
      <c r="H107" s="42"/>
      <c r="I107" s="44"/>
      <c r="J107" s="42"/>
      <c r="K107" s="45"/>
      <c r="M107" s="45"/>
      <c r="O107" s="22"/>
    </row>
    <row r="108" spans="1:15" ht="12.75" hidden="1" customHeight="1" x14ac:dyDescent="0.25">
      <c r="A108" s="42"/>
      <c r="B108" s="42"/>
      <c r="C108" s="42"/>
      <c r="D108" s="42"/>
      <c r="E108" s="42"/>
      <c r="F108" s="42"/>
      <c r="G108" s="59"/>
      <c r="H108" s="42"/>
      <c r="I108" s="44"/>
      <c r="J108" s="42"/>
      <c r="K108" s="45"/>
      <c r="M108" s="45"/>
      <c r="O108" s="22"/>
    </row>
    <row r="109" spans="1:15" ht="12.75" hidden="1" customHeight="1" x14ac:dyDescent="0.25">
      <c r="A109" s="42"/>
      <c r="B109" s="42"/>
      <c r="C109" s="42"/>
      <c r="D109" s="42"/>
      <c r="E109" s="42"/>
      <c r="F109" s="42"/>
      <c r="G109" s="59"/>
      <c r="H109" s="42"/>
      <c r="I109" s="44"/>
      <c r="J109" s="42"/>
      <c r="K109" s="45"/>
      <c r="M109" s="45"/>
      <c r="O109" s="22"/>
    </row>
    <row r="110" spans="1:15" ht="12.75" hidden="1" customHeight="1" x14ac:dyDescent="0.25">
      <c r="A110" s="42"/>
      <c r="B110" s="60"/>
      <c r="C110" s="60"/>
      <c r="D110" s="60"/>
      <c r="E110" s="60"/>
      <c r="F110" s="42"/>
      <c r="G110" s="59"/>
      <c r="H110" s="42"/>
      <c r="I110" s="44"/>
      <c r="J110" s="42"/>
      <c r="K110" s="45"/>
      <c r="M110" s="45"/>
      <c r="O110" s="22"/>
    </row>
    <row r="111" spans="1:15" ht="12.75" hidden="1" customHeight="1" x14ac:dyDescent="0.25">
      <c r="A111" s="42"/>
      <c r="B111" s="60"/>
      <c r="C111" s="60"/>
      <c r="D111" s="60"/>
      <c r="E111" s="60"/>
      <c r="F111" s="42"/>
      <c r="G111" s="59"/>
      <c r="H111" s="42"/>
      <c r="I111" s="44"/>
      <c r="J111" s="42"/>
      <c r="K111" s="45"/>
      <c r="M111" s="45"/>
      <c r="O111" s="22"/>
    </row>
    <row r="112" spans="1:15" ht="12.75" hidden="1" customHeight="1" x14ac:dyDescent="0.25">
      <c r="A112" s="42"/>
      <c r="B112" s="42"/>
      <c r="C112" s="42"/>
      <c r="D112" s="42"/>
      <c r="E112" s="42"/>
      <c r="F112" s="42"/>
      <c r="G112" s="59"/>
      <c r="H112" s="42"/>
      <c r="I112" s="44"/>
      <c r="J112" s="42"/>
      <c r="K112" s="45"/>
      <c r="M112" s="45"/>
      <c r="O112" s="22"/>
    </row>
    <row r="113" spans="1:15" ht="12.75" hidden="1" customHeight="1" x14ac:dyDescent="0.25">
      <c r="A113" s="42"/>
      <c r="B113" s="42"/>
      <c r="C113" s="42"/>
      <c r="D113" s="42"/>
      <c r="E113" s="42"/>
      <c r="F113" s="42"/>
      <c r="G113" s="59"/>
      <c r="H113" s="42"/>
      <c r="I113" s="44"/>
      <c r="J113" s="42"/>
      <c r="K113" s="45"/>
      <c r="M113" s="45"/>
      <c r="O113" s="22"/>
    </row>
    <row r="114" spans="1:15" ht="12.75" hidden="1" customHeight="1" x14ac:dyDescent="0.25">
      <c r="A114" s="42"/>
      <c r="B114" s="58"/>
      <c r="C114" s="58"/>
      <c r="D114" s="58"/>
      <c r="E114" s="58"/>
      <c r="F114" s="42"/>
      <c r="G114" s="59"/>
      <c r="H114" s="42"/>
      <c r="I114" s="45"/>
      <c r="J114" s="42"/>
      <c r="K114" s="45"/>
      <c r="M114" s="45"/>
      <c r="O114" s="22"/>
    </row>
    <row r="115" spans="1:15" ht="12.75" hidden="1" customHeight="1" x14ac:dyDescent="0.25">
      <c r="A115" s="42"/>
      <c r="B115" s="58"/>
      <c r="C115" s="58"/>
      <c r="D115" s="58"/>
      <c r="E115" s="58"/>
      <c r="F115" s="42"/>
      <c r="G115" s="59"/>
      <c r="H115" s="42"/>
      <c r="I115" s="44"/>
      <c r="J115" s="42"/>
      <c r="K115" s="45"/>
      <c r="M115" s="45"/>
      <c r="O115" s="22"/>
    </row>
    <row r="116" spans="1:15" ht="12.75" hidden="1" customHeight="1" x14ac:dyDescent="0.25">
      <c r="A116" s="42"/>
      <c r="B116" s="42"/>
      <c r="C116" s="42"/>
      <c r="D116" s="42"/>
      <c r="E116" s="42"/>
      <c r="F116" s="42"/>
      <c r="G116" s="61"/>
      <c r="H116" s="42"/>
      <c r="I116" s="46"/>
      <c r="J116" s="42"/>
      <c r="K116" s="46"/>
      <c r="M116" s="46"/>
    </row>
    <row r="117" spans="1:15" ht="12.75" hidden="1" customHeight="1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M117" s="42"/>
    </row>
    <row r="118" spans="1:15" ht="12.75" hidden="1" customHeight="1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M118" s="42"/>
    </row>
    <row r="119" spans="1:15" ht="12.75" hidden="1" customHeight="1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M119" s="42"/>
    </row>
    <row r="120" spans="1:15" ht="12.75" hidden="1" customHeight="1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M120" s="42"/>
    </row>
    <row r="121" spans="1:15" ht="12.75" hidden="1" customHeight="1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M121" s="42"/>
    </row>
    <row r="122" spans="1:15" ht="12.75" hidden="1" customHeight="1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M122" s="42"/>
    </row>
    <row r="123" spans="1:15" ht="12.75" hidden="1" customHeight="1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M123" s="42"/>
    </row>
    <row r="124" spans="1:15" ht="12.75" hidden="1" customHeight="1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M124" s="42"/>
    </row>
    <row r="125" spans="1:15" ht="12.75" hidden="1" customHeight="1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M125" s="42"/>
    </row>
    <row r="126" spans="1:15" ht="12.75" hidden="1" customHeight="1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M126" s="42"/>
    </row>
    <row r="127" spans="1:15" ht="12.75" hidden="1" customHeight="1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M127" s="42"/>
    </row>
    <row r="128" spans="1:15" ht="12.75" hidden="1" customHeight="1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M128" s="42"/>
    </row>
    <row r="129" spans="1:13" ht="12.75" hidden="1" customHeight="1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M129" s="42"/>
    </row>
    <row r="130" spans="1:13" ht="12.75" hidden="1" customHeight="1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M130" s="42"/>
    </row>
    <row r="131" spans="1:13" ht="12.75" hidden="1" customHeight="1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M131" s="42"/>
    </row>
    <row r="132" spans="1:13" ht="12.75" hidden="1" customHeight="1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M132" s="42"/>
    </row>
    <row r="133" spans="1:13" ht="12.75" hidden="1" customHeight="1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M133" s="42"/>
    </row>
    <row r="134" spans="1:13" ht="12.75" hidden="1" customHeight="1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M134" s="42"/>
    </row>
    <row r="135" spans="1:13" ht="12.75" hidden="1" customHeight="1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M135" s="42"/>
    </row>
    <row r="136" spans="1:13" ht="12.75" hidden="1" customHeight="1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M136" s="42"/>
    </row>
    <row r="137" spans="1:13" ht="12.75" hidden="1" customHeight="1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M137" s="42"/>
    </row>
    <row r="138" spans="1:13" ht="12.75" hidden="1" customHeight="1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M138" s="42"/>
    </row>
    <row r="139" spans="1:13" ht="12.75" hidden="1" customHeight="1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M139" s="42"/>
    </row>
    <row r="140" spans="1:13" ht="12.75" hidden="1" customHeight="1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M140" s="42"/>
    </row>
    <row r="141" spans="1:13" ht="12.75" hidden="1" customHeight="1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M141" s="42"/>
    </row>
    <row r="142" spans="1:13" ht="12.75" hidden="1" customHeight="1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M142" s="42"/>
    </row>
    <row r="143" spans="1:13" ht="12.75" hidden="1" customHeight="1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M143" s="42"/>
    </row>
    <row r="144" spans="1:13" ht="12.75" hidden="1" customHeight="1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M144" s="42"/>
    </row>
    <row r="145" spans="1:13" ht="12.75" hidden="1" customHeight="1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M145" s="42"/>
    </row>
    <row r="146" spans="1:13" ht="12.75" hidden="1" customHeight="1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M146" s="42"/>
    </row>
    <row r="147" spans="1:13" ht="12.75" hidden="1" customHeight="1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M147" s="42"/>
    </row>
    <row r="148" spans="1:13" ht="12.75" hidden="1" customHeight="1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M148" s="42"/>
    </row>
    <row r="149" spans="1:13" ht="12.75" hidden="1" customHeight="1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M149" s="42"/>
    </row>
    <row r="150" spans="1:13" ht="12.75" hidden="1" customHeight="1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M150" s="42"/>
    </row>
    <row r="151" spans="1:13" ht="12.75" hidden="1" customHeight="1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M151" s="42"/>
    </row>
    <row r="152" spans="1:13" ht="12.75" hidden="1" customHeight="1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M152" s="42"/>
    </row>
    <row r="153" spans="1:13" ht="12.75" hidden="1" customHeight="1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M153" s="42"/>
    </row>
    <row r="154" spans="1:13" ht="12.75" hidden="1" customHeight="1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M154" s="42"/>
    </row>
    <row r="155" spans="1:13" ht="12.75" hidden="1" customHeight="1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M155" s="42"/>
    </row>
    <row r="156" spans="1:13" ht="12.75" hidden="1" customHeight="1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M156" s="42"/>
    </row>
    <row r="157" spans="1:13" ht="12.75" hidden="1" customHeight="1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M157" s="42"/>
    </row>
    <row r="158" spans="1:13" ht="12.75" hidden="1" customHeight="1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M158" s="42"/>
    </row>
    <row r="159" spans="1:13" ht="12.75" hidden="1" customHeight="1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M159" s="42"/>
    </row>
    <row r="160" spans="1:13" ht="12.75" hidden="1" customHeight="1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M160" s="42"/>
    </row>
    <row r="161" spans="1:13" ht="12.75" hidden="1" customHeight="1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M161" s="42"/>
    </row>
    <row r="162" spans="1:13" ht="12.75" hidden="1" customHeight="1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M162" s="42"/>
    </row>
    <row r="163" spans="1:13" ht="12.75" hidden="1" customHeight="1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M163" s="42"/>
    </row>
    <row r="164" spans="1:13" ht="12.75" hidden="1" customHeight="1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M164" s="42"/>
    </row>
    <row r="165" spans="1:13" ht="12.75" hidden="1" customHeight="1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M165" s="42"/>
    </row>
    <row r="166" spans="1:13" ht="12.75" hidden="1" customHeight="1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M166" s="42"/>
    </row>
    <row r="167" spans="1:13" ht="12.75" hidden="1" customHeight="1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M167" s="42"/>
    </row>
    <row r="168" spans="1:13" ht="12.75" hidden="1" customHeight="1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M168" s="42"/>
    </row>
    <row r="169" spans="1:13" ht="12.75" hidden="1" customHeight="1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M169" s="42"/>
    </row>
    <row r="170" spans="1:13" ht="12.75" hidden="1" customHeight="1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M170" s="42"/>
    </row>
    <row r="171" spans="1:13" ht="12.75" hidden="1" customHeight="1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M171" s="42"/>
    </row>
    <row r="172" spans="1:13" ht="12.75" hidden="1" customHeight="1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M172" s="42"/>
    </row>
    <row r="173" spans="1:13" ht="12.75" hidden="1" customHeight="1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M173" s="42"/>
    </row>
    <row r="174" spans="1:13" ht="12.75" hidden="1" customHeight="1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M174" s="42"/>
    </row>
    <row r="175" spans="1:13" ht="12.75" hidden="1" customHeight="1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M175" s="42"/>
    </row>
    <row r="176" spans="1:13" ht="12.75" hidden="1" customHeight="1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M176" s="42"/>
    </row>
    <row r="177" spans="1:13" ht="12.75" hidden="1" customHeight="1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M177" s="42"/>
    </row>
    <row r="178" spans="1:13" ht="12.75" hidden="1" customHeight="1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M178" s="42"/>
    </row>
    <row r="179" spans="1:13" ht="12.75" hidden="1" customHeight="1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M179" s="42"/>
    </row>
    <row r="180" spans="1:13" ht="12.75" hidden="1" customHeight="1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M180" s="42"/>
    </row>
    <row r="181" spans="1:13" ht="12.75" hidden="1" customHeight="1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M181" s="42"/>
    </row>
    <row r="182" spans="1:13" ht="12.75" hidden="1" customHeight="1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M182" s="42"/>
    </row>
    <row r="183" spans="1:13" ht="12.75" hidden="1" customHeight="1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M183" s="42"/>
    </row>
    <row r="184" spans="1:13" ht="12.75" hidden="1" customHeight="1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M184" s="42"/>
    </row>
    <row r="185" spans="1:13" ht="12.75" hidden="1" customHeight="1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M185" s="42"/>
    </row>
    <row r="186" spans="1:13" ht="12.75" hidden="1" customHeight="1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M186" s="42"/>
    </row>
    <row r="187" spans="1:13" ht="12.75" hidden="1" customHeight="1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M187" s="42"/>
    </row>
    <row r="194" spans="13:13" ht="12.75" customHeight="1" x14ac:dyDescent="0.25">
      <c r="M194" s="123"/>
    </row>
  </sheetData>
  <sheetProtection password="E92F" sheet="1" objects="1" scenarios="1"/>
  <autoFilter ref="P1:P187">
    <filterColumn colId="0">
      <customFilters>
        <customFilter operator="notEqual" val=" "/>
      </customFilters>
    </filterColumn>
  </autoFilter>
  <mergeCells count="1">
    <mergeCell ref="B2:G2"/>
  </mergeCells>
  <phoneticPr fontId="0" type="noConversion"/>
  <printOptions horizontalCentered="1"/>
  <pageMargins left="0" right="0" top="0.5" bottom="0.25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FD193"/>
  <sheetViews>
    <sheetView showOutlineSymbols="0" topLeftCell="B1" zoomScaleNormal="100" workbookViewId="0">
      <selection activeCell="B1" sqref="B1:E1"/>
    </sheetView>
  </sheetViews>
  <sheetFormatPr defaultColWidth="9.109375" defaultRowHeight="12.75" customHeight="1" x14ac:dyDescent="0.25"/>
  <cols>
    <col min="1" max="1" width="5.109375" style="51" hidden="1" customWidth="1"/>
    <col min="2" max="2" width="18.88671875" style="42" customWidth="1"/>
    <col min="3" max="3" width="27.33203125" style="98" customWidth="1"/>
    <col min="4" max="4" width="9.88671875" style="98" hidden="1" customWidth="1"/>
    <col min="5" max="5" width="11.33203125" style="77" customWidth="1"/>
    <col min="6" max="6" width="11.33203125" style="42" customWidth="1"/>
    <col min="7" max="7" width="3.88671875" style="42" hidden="1" customWidth="1"/>
    <col min="8" max="9" width="11.33203125" style="42" customWidth="1"/>
    <col min="10" max="10" width="3.88671875" style="42" hidden="1" customWidth="1"/>
    <col min="11" max="12" width="11.33203125" style="42" customWidth="1"/>
    <col min="13" max="13" width="11.6640625" style="42" customWidth="1"/>
    <col min="14" max="14" width="9.109375" style="42" hidden="1" customWidth="1"/>
    <col min="15" max="15" width="22.6640625" style="42" hidden="1" customWidth="1"/>
    <col min="16" max="16" width="12.88671875" style="42" hidden="1" customWidth="1"/>
    <col min="17" max="18" width="0" style="42" hidden="1" customWidth="1"/>
    <col min="19" max="16384" width="9.109375" style="42"/>
  </cols>
  <sheetData>
    <row r="1" spans="1:14" ht="13.2" x14ac:dyDescent="0.25">
      <c r="B1" s="174" t="str">
        <f>Budget!B1</f>
        <v>CHAUTAUQUA LEARN &amp; SERVE CHARTER SCHOOL</v>
      </c>
      <c r="C1" s="174"/>
      <c r="D1" s="174"/>
      <c r="E1" s="174"/>
      <c r="N1" s="42" t="s">
        <v>189</v>
      </c>
    </row>
    <row r="2" spans="1:14" ht="17.25" customHeight="1" x14ac:dyDescent="0.25">
      <c r="B2" s="174" t="s">
        <v>271</v>
      </c>
      <c r="C2" s="174"/>
      <c r="D2" s="174"/>
      <c r="E2" s="174"/>
      <c r="N2" s="42" t="s">
        <v>189</v>
      </c>
    </row>
    <row r="3" spans="1:14" ht="18.75" customHeight="1" x14ac:dyDescent="0.25">
      <c r="B3" s="47"/>
      <c r="C3" s="47"/>
      <c r="D3" s="47"/>
      <c r="E3" s="102"/>
      <c r="N3" s="42" t="s">
        <v>189</v>
      </c>
    </row>
    <row r="4" spans="1:14" ht="18.75" hidden="1" customHeight="1" x14ac:dyDescent="0.25">
      <c r="B4" s="47"/>
      <c r="C4" s="47"/>
      <c r="D4" s="47"/>
      <c r="E4" s="102"/>
      <c r="F4" s="176" t="s">
        <v>30</v>
      </c>
      <c r="G4" s="176"/>
      <c r="H4" s="62" t="s">
        <v>32</v>
      </c>
      <c r="I4" s="176" t="s">
        <v>29</v>
      </c>
      <c r="J4" s="176"/>
      <c r="K4" s="62" t="s">
        <v>39</v>
      </c>
      <c r="N4" s="42" t="s">
        <v>158</v>
      </c>
    </row>
    <row r="5" spans="1:14" ht="18.75" hidden="1" customHeight="1" x14ac:dyDescent="0.25">
      <c r="B5" s="47"/>
      <c r="C5" s="47"/>
      <c r="D5" s="47"/>
      <c r="E5" s="117" t="s">
        <v>31</v>
      </c>
      <c r="F5" s="175">
        <v>7.2099999999999997E-2</v>
      </c>
      <c r="G5" s="175"/>
      <c r="H5" s="64">
        <v>7.6499999999999999E-2</v>
      </c>
      <c r="I5" s="175">
        <v>5.0000000000000001E-3</v>
      </c>
      <c r="J5" s="175"/>
      <c r="K5" s="63">
        <v>0.04</v>
      </c>
      <c r="L5" s="63"/>
      <c r="N5" s="42" t="s">
        <v>158</v>
      </c>
    </row>
    <row r="6" spans="1:14" ht="18.75" hidden="1" customHeight="1" x14ac:dyDescent="0.25">
      <c r="B6" s="47"/>
      <c r="C6" s="47"/>
      <c r="D6" s="47"/>
      <c r="E6" s="117" t="s">
        <v>33</v>
      </c>
      <c r="F6" s="175">
        <f>F5</f>
        <v>7.2099999999999997E-2</v>
      </c>
      <c r="G6" s="175"/>
      <c r="H6" s="64">
        <v>7.6499999999999999E-2</v>
      </c>
      <c r="I6" s="175">
        <f>+I5</f>
        <v>5.0000000000000001E-3</v>
      </c>
      <c r="J6" s="175"/>
      <c r="K6" s="63">
        <f>+K5</f>
        <v>0.04</v>
      </c>
      <c r="L6" s="63"/>
      <c r="N6" s="42" t="s">
        <v>158</v>
      </c>
    </row>
    <row r="7" spans="1:14" ht="18.75" hidden="1" customHeight="1" x14ac:dyDescent="0.25">
      <c r="B7" s="47"/>
      <c r="C7" s="47"/>
      <c r="D7" s="47"/>
      <c r="E7" s="117" t="s">
        <v>177</v>
      </c>
      <c r="F7" s="175">
        <f>F6</f>
        <v>7.2099999999999997E-2</v>
      </c>
      <c r="G7" s="175"/>
      <c r="H7" s="64">
        <v>7.6499999999999999E-2</v>
      </c>
      <c r="I7" s="175">
        <v>0.04</v>
      </c>
      <c r="J7" s="175"/>
      <c r="K7" s="121">
        <f t="shared" ref="K7:K10" si="0">+K6</f>
        <v>0.04</v>
      </c>
      <c r="L7" s="63"/>
      <c r="N7" s="42" t="s">
        <v>158</v>
      </c>
    </row>
    <row r="8" spans="1:14" ht="18.75" hidden="1" customHeight="1" x14ac:dyDescent="0.25">
      <c r="B8" s="47"/>
      <c r="C8" s="47"/>
      <c r="D8" s="47"/>
      <c r="E8" s="117" t="s">
        <v>178</v>
      </c>
      <c r="F8" s="175">
        <f>F7</f>
        <v>7.2099999999999997E-2</v>
      </c>
      <c r="G8" s="175"/>
      <c r="H8" s="64">
        <v>7.6499999999999999E-2</v>
      </c>
      <c r="I8" s="175">
        <f>+I7</f>
        <v>0.04</v>
      </c>
      <c r="J8" s="175"/>
      <c r="K8" s="121">
        <f t="shared" si="0"/>
        <v>0.04</v>
      </c>
      <c r="L8" s="63"/>
      <c r="N8" s="42" t="s">
        <v>158</v>
      </c>
    </row>
    <row r="9" spans="1:14" ht="18.75" hidden="1" customHeight="1" x14ac:dyDescent="0.25">
      <c r="A9" s="62" t="s">
        <v>34</v>
      </c>
      <c r="B9" s="47"/>
      <c r="C9" s="47"/>
      <c r="D9" s="47"/>
      <c r="E9" s="117" t="s">
        <v>179</v>
      </c>
      <c r="F9" s="175">
        <f>F8</f>
        <v>7.2099999999999997E-2</v>
      </c>
      <c r="G9" s="175"/>
      <c r="H9" s="64">
        <v>7.6499999999999999E-2</v>
      </c>
      <c r="I9" s="175">
        <f>+I7</f>
        <v>0.04</v>
      </c>
      <c r="J9" s="175"/>
      <c r="K9" s="121">
        <f t="shared" si="0"/>
        <v>0.04</v>
      </c>
      <c r="L9" s="90"/>
      <c r="N9" s="42" t="s">
        <v>158</v>
      </c>
    </row>
    <row r="10" spans="1:14" ht="14.1" hidden="1" customHeight="1" x14ac:dyDescent="0.25">
      <c r="A10" s="51">
        <v>1</v>
      </c>
      <c r="B10" s="47"/>
      <c r="C10" s="47"/>
      <c r="D10" s="47"/>
      <c r="E10" s="117" t="s">
        <v>180</v>
      </c>
      <c r="F10" s="175">
        <f>F9</f>
        <v>7.2099999999999997E-2</v>
      </c>
      <c r="G10" s="175"/>
      <c r="H10" s="64">
        <v>7.6499999999999999E-2</v>
      </c>
      <c r="I10" s="175">
        <f>+I5</f>
        <v>5.0000000000000001E-3</v>
      </c>
      <c r="J10" s="175"/>
      <c r="K10" s="121">
        <f t="shared" si="0"/>
        <v>0.04</v>
      </c>
      <c r="L10" s="90"/>
      <c r="N10" s="42" t="s">
        <v>158</v>
      </c>
    </row>
    <row r="11" spans="1:14" ht="14.1" customHeight="1" x14ac:dyDescent="0.25">
      <c r="A11" s="51">
        <v>2</v>
      </c>
      <c r="B11" s="47"/>
      <c r="C11" s="49"/>
      <c r="D11" s="49"/>
      <c r="E11" s="102"/>
      <c r="N11" s="42" t="s">
        <v>189</v>
      </c>
    </row>
    <row r="12" spans="1:14" ht="14.1" hidden="1" customHeight="1" x14ac:dyDescent="0.25">
      <c r="A12" s="51">
        <v>3</v>
      </c>
      <c r="B12" s="47"/>
      <c r="C12" s="47"/>
      <c r="D12" s="47"/>
      <c r="E12" s="102"/>
    </row>
    <row r="13" spans="1:14" ht="13.2" x14ac:dyDescent="0.25">
      <c r="A13" s="51">
        <v>4</v>
      </c>
      <c r="B13" s="47" t="s">
        <v>35</v>
      </c>
      <c r="C13" s="47" t="s">
        <v>36</v>
      </c>
      <c r="D13" s="47"/>
      <c r="E13" s="118" t="s">
        <v>281</v>
      </c>
      <c r="F13" s="177" t="s">
        <v>329</v>
      </c>
      <c r="G13" s="178"/>
      <c r="H13" s="65" t="s">
        <v>330</v>
      </c>
      <c r="I13" s="179" t="s">
        <v>331</v>
      </c>
      <c r="J13" s="180"/>
      <c r="K13" s="65" t="s">
        <v>332</v>
      </c>
      <c r="L13" s="65" t="s">
        <v>333</v>
      </c>
      <c r="M13" s="66" t="s">
        <v>334</v>
      </c>
      <c r="N13" s="42" t="s">
        <v>189</v>
      </c>
    </row>
    <row r="14" spans="1:14" ht="14.1" hidden="1" customHeight="1" x14ac:dyDescent="0.25">
      <c r="A14" s="51">
        <v>5</v>
      </c>
      <c r="B14" s="67" t="s">
        <v>24</v>
      </c>
      <c r="C14" s="68"/>
      <c r="D14" s="50"/>
      <c r="E14" s="119"/>
      <c r="F14" s="45">
        <f t="shared" ref="F14:F39" si="1">IF(G14="Y",E14*$F$5," ")</f>
        <v>0</v>
      </c>
      <c r="G14" s="51" t="s">
        <v>173</v>
      </c>
      <c r="H14" s="45">
        <f>+$E14*$H$5</f>
        <v>0</v>
      </c>
      <c r="I14" s="45" t="str">
        <f>IF(J14="Y",5800.19," ")</f>
        <v xml:space="preserve"> </v>
      </c>
      <c r="J14" s="52" t="s">
        <v>171</v>
      </c>
      <c r="K14" s="45">
        <f>+$E14*$I$5</f>
        <v>0</v>
      </c>
      <c r="L14" s="45">
        <f>IF(E14&gt;7000,7000*$K$5,E14*$K$5)</f>
        <v>0</v>
      </c>
      <c r="M14" s="43">
        <f t="shared" ref="M14:M39" si="2">SUM(H14:L14,E14:F14)</f>
        <v>0</v>
      </c>
      <c r="N14" s="42" t="str">
        <f>IF(M14&gt;0.49,"*","")</f>
        <v/>
      </c>
    </row>
    <row r="15" spans="1:14" ht="14.1" customHeight="1" x14ac:dyDescent="0.25">
      <c r="B15" s="69" t="s">
        <v>24</v>
      </c>
      <c r="C15" s="70" t="s">
        <v>487</v>
      </c>
      <c r="D15" s="50">
        <v>1457.5</v>
      </c>
      <c r="E15" s="119">
        <f>+D15*24</f>
        <v>34980</v>
      </c>
      <c r="F15" s="45">
        <f t="shared" si="1"/>
        <v>2522.058</v>
      </c>
      <c r="G15" s="51" t="s">
        <v>173</v>
      </c>
      <c r="H15" s="45">
        <f>+$E15*$H$5</f>
        <v>2675.97</v>
      </c>
      <c r="I15" s="45">
        <f>IF(J15="Y",5800.19," ")</f>
        <v>5800.19</v>
      </c>
      <c r="J15" s="52" t="s">
        <v>173</v>
      </c>
      <c r="K15" s="45">
        <f>+$E15*$I$5</f>
        <v>174.9</v>
      </c>
      <c r="L15" s="45">
        <f>IF(E15&gt;7000,7000*$K$5,E15*$K$5)</f>
        <v>280</v>
      </c>
      <c r="M15" s="43">
        <f t="shared" si="2"/>
        <v>46433.117999999995</v>
      </c>
      <c r="N15" s="42" t="str">
        <f t="shared" ref="N15:N113" si="3">IF(M15&gt;0.49,"*","")</f>
        <v>*</v>
      </c>
    </row>
    <row r="16" spans="1:14" ht="14.1" customHeight="1" x14ac:dyDescent="0.25">
      <c r="A16" s="51">
        <v>6</v>
      </c>
      <c r="B16" s="69" t="s">
        <v>24</v>
      </c>
      <c r="C16" s="70" t="s">
        <v>423</v>
      </c>
      <c r="D16" s="50">
        <v>2208.33</v>
      </c>
      <c r="E16" s="119">
        <f>+D16*24</f>
        <v>52999.92</v>
      </c>
      <c r="F16" s="45">
        <f t="shared" si="1"/>
        <v>3821.2942319999997</v>
      </c>
      <c r="G16" s="51" t="s">
        <v>173</v>
      </c>
      <c r="H16" s="45">
        <f t="shared" ref="H16:H39" si="4">+$E16*$H$5</f>
        <v>4054.49388</v>
      </c>
      <c r="I16" s="45" t="str">
        <f>IF(J16="Y",5800.19," ")</f>
        <v xml:space="preserve"> </v>
      </c>
      <c r="J16" s="52" t="s">
        <v>171</v>
      </c>
      <c r="K16" s="45">
        <f t="shared" ref="K16:K39" si="5">+$E16*$I$5</f>
        <v>264.99959999999999</v>
      </c>
      <c r="L16" s="45">
        <f t="shared" ref="L16:L39" si="6">IF(E16&gt;7000,7000*$K$5,E16*$K$5)</f>
        <v>280</v>
      </c>
      <c r="M16" s="43">
        <f t="shared" si="2"/>
        <v>61420.707711999996</v>
      </c>
      <c r="N16" s="42" t="str">
        <f t="shared" si="3"/>
        <v>*</v>
      </c>
    </row>
    <row r="17" spans="1:14" ht="14.1" hidden="1" customHeight="1" x14ac:dyDescent="0.25">
      <c r="A17" s="51">
        <v>7</v>
      </c>
      <c r="B17" s="69" t="s">
        <v>24</v>
      </c>
      <c r="C17" s="70"/>
      <c r="D17" s="50"/>
      <c r="E17" s="119">
        <f>D17*PRInf</f>
        <v>0</v>
      </c>
      <c r="F17" s="45">
        <f t="shared" si="1"/>
        <v>0</v>
      </c>
      <c r="G17" s="51" t="s">
        <v>173</v>
      </c>
      <c r="H17" s="45">
        <f t="shared" si="4"/>
        <v>0</v>
      </c>
      <c r="I17" s="45" t="str">
        <f>IF(J17="Y",5800.19," ")</f>
        <v xml:space="preserve"> </v>
      </c>
      <c r="J17" s="52" t="s">
        <v>171</v>
      </c>
      <c r="K17" s="45">
        <f t="shared" si="5"/>
        <v>0</v>
      </c>
      <c r="L17" s="45">
        <f t="shared" si="6"/>
        <v>0</v>
      </c>
      <c r="M17" s="43">
        <f t="shared" si="2"/>
        <v>0</v>
      </c>
      <c r="N17" s="42" t="str">
        <f t="shared" si="3"/>
        <v/>
      </c>
    </row>
    <row r="18" spans="1:14" ht="14.1" hidden="1" customHeight="1" x14ac:dyDescent="0.25">
      <c r="A18" s="51">
        <v>8</v>
      </c>
      <c r="B18" s="69" t="s">
        <v>24</v>
      </c>
      <c r="C18" s="70"/>
      <c r="D18" s="50"/>
      <c r="E18" s="119">
        <f>D18*PRInf</f>
        <v>0</v>
      </c>
      <c r="F18" s="45">
        <f t="shared" si="1"/>
        <v>0</v>
      </c>
      <c r="G18" s="51" t="s">
        <v>173</v>
      </c>
      <c r="H18" s="45">
        <f t="shared" si="4"/>
        <v>0</v>
      </c>
      <c r="I18" s="45" t="str">
        <f>IF(J18="Y",5800.19," ")</f>
        <v xml:space="preserve"> </v>
      </c>
      <c r="J18" s="52" t="s">
        <v>171</v>
      </c>
      <c r="K18" s="45">
        <f t="shared" si="5"/>
        <v>0</v>
      </c>
      <c r="L18" s="45">
        <f t="shared" si="6"/>
        <v>0</v>
      </c>
      <c r="M18" s="43">
        <f t="shared" si="2"/>
        <v>0</v>
      </c>
      <c r="N18" s="42" t="str">
        <f t="shared" si="3"/>
        <v/>
      </c>
    </row>
    <row r="19" spans="1:14" ht="14.1" hidden="1" customHeight="1" x14ac:dyDescent="0.25">
      <c r="A19" s="51">
        <v>9</v>
      </c>
      <c r="B19" s="69" t="s">
        <v>24</v>
      </c>
      <c r="C19" s="70"/>
      <c r="D19" s="50"/>
      <c r="E19" s="119"/>
      <c r="F19" s="45">
        <f t="shared" si="1"/>
        <v>0</v>
      </c>
      <c r="G19" s="51" t="s">
        <v>173</v>
      </c>
      <c r="H19" s="45">
        <f t="shared" si="4"/>
        <v>0</v>
      </c>
      <c r="I19" s="45" t="str">
        <f>IF(J19="Y",5800.19," ")</f>
        <v xml:space="preserve"> </v>
      </c>
      <c r="J19" s="52" t="s">
        <v>171</v>
      </c>
      <c r="K19" s="45">
        <f t="shared" si="5"/>
        <v>0</v>
      </c>
      <c r="L19" s="45">
        <f t="shared" si="6"/>
        <v>0</v>
      </c>
      <c r="M19" s="43">
        <f t="shared" si="2"/>
        <v>0</v>
      </c>
      <c r="N19" s="42" t="str">
        <f t="shared" si="3"/>
        <v/>
      </c>
    </row>
    <row r="20" spans="1:14" ht="14.1" hidden="1" customHeight="1" x14ac:dyDescent="0.25">
      <c r="A20" s="51">
        <v>10</v>
      </c>
      <c r="B20" s="69" t="s">
        <v>24</v>
      </c>
      <c r="C20" s="70"/>
      <c r="D20" s="50"/>
      <c r="E20" s="119"/>
      <c r="F20" s="45">
        <f t="shared" si="1"/>
        <v>0</v>
      </c>
      <c r="G20" s="51" t="s">
        <v>173</v>
      </c>
      <c r="H20" s="45">
        <f t="shared" si="4"/>
        <v>0</v>
      </c>
      <c r="I20" s="45" t="str">
        <f>IF(J20="Y",5800.19," ")</f>
        <v xml:space="preserve"> </v>
      </c>
      <c r="J20" s="52" t="s">
        <v>171</v>
      </c>
      <c r="K20" s="45">
        <f t="shared" si="5"/>
        <v>0</v>
      </c>
      <c r="L20" s="45">
        <f t="shared" si="6"/>
        <v>0</v>
      </c>
      <c r="M20" s="43">
        <f t="shared" si="2"/>
        <v>0</v>
      </c>
      <c r="N20" s="42" t="str">
        <f t="shared" si="3"/>
        <v/>
      </c>
    </row>
    <row r="21" spans="1:14" ht="14.1" hidden="1" customHeight="1" x14ac:dyDescent="0.25">
      <c r="A21" s="51">
        <v>59</v>
      </c>
      <c r="B21" s="69" t="s">
        <v>24</v>
      </c>
      <c r="C21" s="70"/>
      <c r="D21" s="50"/>
      <c r="E21" s="119"/>
      <c r="F21" s="45">
        <f t="shared" si="1"/>
        <v>0</v>
      </c>
      <c r="G21" s="51" t="s">
        <v>173</v>
      </c>
      <c r="H21" s="45">
        <f t="shared" si="4"/>
        <v>0</v>
      </c>
      <c r="I21" s="45" t="str">
        <f>IF(J21="Y",5800.19," ")</f>
        <v xml:space="preserve"> </v>
      </c>
      <c r="J21" s="52" t="s">
        <v>171</v>
      </c>
      <c r="K21" s="45">
        <f t="shared" si="5"/>
        <v>0</v>
      </c>
      <c r="L21" s="45">
        <f t="shared" si="6"/>
        <v>0</v>
      </c>
      <c r="M21" s="43">
        <f t="shared" si="2"/>
        <v>0</v>
      </c>
      <c r="N21" s="42" t="str">
        <f t="shared" si="3"/>
        <v/>
      </c>
    </row>
    <row r="22" spans="1:14" ht="14.1" hidden="1" customHeight="1" x14ac:dyDescent="0.25">
      <c r="A22" s="51">
        <v>60</v>
      </c>
      <c r="B22" s="69" t="s">
        <v>24</v>
      </c>
      <c r="D22" s="50"/>
      <c r="E22" s="119"/>
      <c r="F22" s="45">
        <f t="shared" si="1"/>
        <v>0</v>
      </c>
      <c r="G22" s="51" t="s">
        <v>173</v>
      </c>
      <c r="H22" s="45">
        <f t="shared" si="4"/>
        <v>0</v>
      </c>
      <c r="I22" s="45" t="str">
        <f>IF(J22="Y",5800.19," ")</f>
        <v xml:space="preserve"> </v>
      </c>
      <c r="J22" s="52" t="s">
        <v>171</v>
      </c>
      <c r="K22" s="45">
        <f t="shared" si="5"/>
        <v>0</v>
      </c>
      <c r="L22" s="45">
        <f t="shared" si="6"/>
        <v>0</v>
      </c>
      <c r="M22" s="43">
        <f t="shared" si="2"/>
        <v>0</v>
      </c>
      <c r="N22" s="42" t="str">
        <f t="shared" si="3"/>
        <v/>
      </c>
    </row>
    <row r="23" spans="1:14" ht="14.1" hidden="1" customHeight="1" x14ac:dyDescent="0.25">
      <c r="A23" s="51">
        <v>61</v>
      </c>
      <c r="B23" s="69" t="s">
        <v>24</v>
      </c>
      <c r="D23" s="50"/>
      <c r="E23" s="119"/>
      <c r="F23" s="45">
        <f t="shared" si="1"/>
        <v>0</v>
      </c>
      <c r="G23" s="51" t="s">
        <v>173</v>
      </c>
      <c r="H23" s="45">
        <f t="shared" si="4"/>
        <v>0</v>
      </c>
      <c r="I23" s="45" t="str">
        <f>IF(J23="Y",5800.19," ")</f>
        <v xml:space="preserve"> </v>
      </c>
      <c r="J23" s="52" t="s">
        <v>171</v>
      </c>
      <c r="K23" s="45">
        <f t="shared" si="5"/>
        <v>0</v>
      </c>
      <c r="L23" s="45">
        <f t="shared" si="6"/>
        <v>0</v>
      </c>
      <c r="M23" s="43">
        <f t="shared" si="2"/>
        <v>0</v>
      </c>
      <c r="N23" s="42" t="str">
        <f t="shared" si="3"/>
        <v/>
      </c>
    </row>
    <row r="24" spans="1:14" ht="14.1" hidden="1" customHeight="1" x14ac:dyDescent="0.25">
      <c r="B24" s="69" t="s">
        <v>24</v>
      </c>
      <c r="C24" s="70"/>
      <c r="D24" s="50"/>
      <c r="E24" s="119"/>
      <c r="F24" s="45">
        <f t="shared" si="1"/>
        <v>0</v>
      </c>
      <c r="G24" s="51" t="s">
        <v>173</v>
      </c>
      <c r="H24" s="45">
        <f t="shared" si="4"/>
        <v>0</v>
      </c>
      <c r="I24" s="45" t="str">
        <f>IF(J24="Y",5800.19," ")</f>
        <v xml:space="preserve"> </v>
      </c>
      <c r="J24" s="52" t="s">
        <v>171</v>
      </c>
      <c r="K24" s="45">
        <f t="shared" si="5"/>
        <v>0</v>
      </c>
      <c r="L24" s="45">
        <f t="shared" si="6"/>
        <v>0</v>
      </c>
      <c r="M24" s="43">
        <f t="shared" si="2"/>
        <v>0</v>
      </c>
      <c r="N24" s="42" t="str">
        <f t="shared" si="3"/>
        <v/>
      </c>
    </row>
    <row r="25" spans="1:14" ht="14.1" hidden="1" customHeight="1" x14ac:dyDescent="0.25">
      <c r="B25" s="69" t="s">
        <v>24</v>
      </c>
      <c r="C25" s="70"/>
      <c r="D25" s="50"/>
      <c r="E25" s="119"/>
      <c r="F25" s="45">
        <v>0</v>
      </c>
      <c r="G25" s="51" t="s">
        <v>173</v>
      </c>
      <c r="H25" s="45">
        <v>0</v>
      </c>
      <c r="I25" s="45" t="str">
        <f>IF(J25="Y",5800.19," ")</f>
        <v xml:space="preserve"> </v>
      </c>
      <c r="J25" s="52" t="s">
        <v>171</v>
      </c>
      <c r="K25" s="45">
        <v>0</v>
      </c>
      <c r="L25" s="45">
        <v>0</v>
      </c>
      <c r="M25" s="43">
        <f t="shared" si="2"/>
        <v>0</v>
      </c>
      <c r="N25" s="42" t="str">
        <f t="shared" si="3"/>
        <v/>
      </c>
    </row>
    <row r="26" spans="1:14" ht="14.1" hidden="1" customHeight="1" x14ac:dyDescent="0.25">
      <c r="B26" s="69" t="s">
        <v>24</v>
      </c>
      <c r="C26" s="70"/>
      <c r="D26" s="50"/>
      <c r="E26" s="119"/>
      <c r="F26" s="45">
        <f t="shared" si="1"/>
        <v>0</v>
      </c>
      <c r="G26" s="51" t="s">
        <v>173</v>
      </c>
      <c r="H26" s="45">
        <f t="shared" si="4"/>
        <v>0</v>
      </c>
      <c r="I26" s="45" t="str">
        <f>IF(J26="Y",5800.19," ")</f>
        <v xml:space="preserve"> </v>
      </c>
      <c r="J26" s="52" t="s">
        <v>171</v>
      </c>
      <c r="K26" s="45">
        <f t="shared" si="5"/>
        <v>0</v>
      </c>
      <c r="L26" s="45">
        <f t="shared" si="6"/>
        <v>0</v>
      </c>
      <c r="M26" s="43">
        <f t="shared" si="2"/>
        <v>0</v>
      </c>
      <c r="N26" s="42" t="str">
        <f t="shared" si="3"/>
        <v/>
      </c>
    </row>
    <row r="27" spans="1:14" ht="15.9" hidden="1" customHeight="1" x14ac:dyDescent="0.25">
      <c r="A27" s="71">
        <f>+A23</f>
        <v>61</v>
      </c>
      <c r="B27" s="69" t="s">
        <v>24</v>
      </c>
      <c r="C27" s="70"/>
      <c r="D27" s="50"/>
      <c r="E27" s="119"/>
      <c r="F27" s="45">
        <f t="shared" si="1"/>
        <v>0</v>
      </c>
      <c r="G27" s="51" t="s">
        <v>173</v>
      </c>
      <c r="H27" s="45">
        <f t="shared" si="4"/>
        <v>0</v>
      </c>
      <c r="I27" s="45" t="str">
        <f>IF(J27="Y",5800.19," ")</f>
        <v xml:space="preserve"> </v>
      </c>
      <c r="J27" s="52" t="s">
        <v>171</v>
      </c>
      <c r="K27" s="45">
        <f t="shared" si="5"/>
        <v>0</v>
      </c>
      <c r="L27" s="45">
        <f t="shared" si="6"/>
        <v>0</v>
      </c>
      <c r="M27" s="43">
        <f t="shared" si="2"/>
        <v>0</v>
      </c>
      <c r="N27" s="42" t="str">
        <f t="shared" si="3"/>
        <v/>
      </c>
    </row>
    <row r="28" spans="1:14" ht="15.9" hidden="1" customHeight="1" x14ac:dyDescent="0.25">
      <c r="A28" s="73"/>
      <c r="B28" s="69" t="s">
        <v>24</v>
      </c>
      <c r="C28" s="70"/>
      <c r="D28" s="50"/>
      <c r="E28" s="119"/>
      <c r="F28" s="45">
        <f t="shared" si="1"/>
        <v>0</v>
      </c>
      <c r="G28" s="51" t="s">
        <v>173</v>
      </c>
      <c r="H28" s="45">
        <f t="shared" si="4"/>
        <v>0</v>
      </c>
      <c r="I28" s="45" t="str">
        <f>IF(J28="Y",5800.19," ")</f>
        <v xml:space="preserve"> </v>
      </c>
      <c r="J28" s="52" t="s">
        <v>171</v>
      </c>
      <c r="K28" s="45">
        <f t="shared" si="5"/>
        <v>0</v>
      </c>
      <c r="L28" s="45">
        <f t="shared" si="6"/>
        <v>0</v>
      </c>
      <c r="M28" s="43">
        <f t="shared" si="2"/>
        <v>0</v>
      </c>
      <c r="N28" s="42" t="str">
        <f t="shared" si="3"/>
        <v/>
      </c>
    </row>
    <row r="29" spans="1:14" ht="14.1" hidden="1" customHeight="1" x14ac:dyDescent="0.25">
      <c r="A29" s="73">
        <v>1</v>
      </c>
      <c r="B29" s="69" t="s">
        <v>24</v>
      </c>
      <c r="C29" s="70"/>
      <c r="D29" s="50"/>
      <c r="E29" s="119"/>
      <c r="F29" s="45">
        <f t="shared" si="1"/>
        <v>0</v>
      </c>
      <c r="G29" s="51" t="s">
        <v>173</v>
      </c>
      <c r="H29" s="45">
        <f t="shared" si="4"/>
        <v>0</v>
      </c>
      <c r="I29" s="45" t="str">
        <f>IF(J29="Y",5800.19," ")</f>
        <v xml:space="preserve"> </v>
      </c>
      <c r="J29" s="52" t="s">
        <v>171</v>
      </c>
      <c r="K29" s="45">
        <f t="shared" si="5"/>
        <v>0</v>
      </c>
      <c r="L29" s="45">
        <f t="shared" si="6"/>
        <v>0</v>
      </c>
      <c r="M29" s="43">
        <f t="shared" si="2"/>
        <v>0</v>
      </c>
      <c r="N29" s="42" t="str">
        <f t="shared" si="3"/>
        <v/>
      </c>
    </row>
    <row r="30" spans="1:14" ht="14.1" hidden="1" customHeight="1" x14ac:dyDescent="0.25">
      <c r="A30" s="73">
        <v>5</v>
      </c>
      <c r="B30" s="69" t="s">
        <v>24</v>
      </c>
      <c r="C30" s="70"/>
      <c r="D30" s="50"/>
      <c r="E30" s="119"/>
      <c r="F30" s="45">
        <f t="shared" si="1"/>
        <v>0</v>
      </c>
      <c r="G30" s="51" t="s">
        <v>173</v>
      </c>
      <c r="H30" s="45">
        <f t="shared" si="4"/>
        <v>0</v>
      </c>
      <c r="I30" s="45" t="str">
        <f>IF(J30="Y",5800.19," ")</f>
        <v xml:space="preserve"> </v>
      </c>
      <c r="J30" s="52" t="s">
        <v>171</v>
      </c>
      <c r="K30" s="45">
        <f t="shared" si="5"/>
        <v>0</v>
      </c>
      <c r="L30" s="45">
        <f t="shared" si="6"/>
        <v>0</v>
      </c>
      <c r="M30" s="43">
        <f t="shared" si="2"/>
        <v>0</v>
      </c>
      <c r="N30" s="42" t="str">
        <f t="shared" si="3"/>
        <v/>
      </c>
    </row>
    <row r="31" spans="1:14" ht="14.1" hidden="1" customHeight="1" x14ac:dyDescent="0.25">
      <c r="A31" s="73">
        <v>6</v>
      </c>
      <c r="B31" s="69" t="s">
        <v>24</v>
      </c>
      <c r="C31" s="70"/>
      <c r="D31" s="50"/>
      <c r="E31" s="119"/>
      <c r="F31" s="45">
        <f t="shared" si="1"/>
        <v>0</v>
      </c>
      <c r="G31" s="51" t="s">
        <v>173</v>
      </c>
      <c r="H31" s="45">
        <f t="shared" si="4"/>
        <v>0</v>
      </c>
      <c r="I31" s="45" t="str">
        <f>IF(J31="Y",5800.19," ")</f>
        <v xml:space="preserve"> </v>
      </c>
      <c r="J31" s="52" t="s">
        <v>171</v>
      </c>
      <c r="K31" s="45">
        <f t="shared" si="5"/>
        <v>0</v>
      </c>
      <c r="L31" s="45">
        <f t="shared" si="6"/>
        <v>0</v>
      </c>
      <c r="M31" s="43">
        <f t="shared" si="2"/>
        <v>0</v>
      </c>
      <c r="N31" s="42" t="str">
        <f t="shared" si="3"/>
        <v/>
      </c>
    </row>
    <row r="32" spans="1:14" ht="13.2" hidden="1" x14ac:dyDescent="0.25">
      <c r="A32" s="73">
        <v>7</v>
      </c>
      <c r="B32" s="69" t="s">
        <v>24</v>
      </c>
      <c r="C32" s="70"/>
      <c r="D32" s="50"/>
      <c r="E32" s="119"/>
      <c r="F32" s="45">
        <f t="shared" si="1"/>
        <v>0</v>
      </c>
      <c r="G32" s="51" t="s">
        <v>173</v>
      </c>
      <c r="H32" s="45">
        <f t="shared" si="4"/>
        <v>0</v>
      </c>
      <c r="I32" s="45" t="str">
        <f>IF(J32="Y",5800.19," ")</f>
        <v xml:space="preserve"> </v>
      </c>
      <c r="J32" s="52" t="s">
        <v>171</v>
      </c>
      <c r="K32" s="45">
        <f t="shared" si="5"/>
        <v>0</v>
      </c>
      <c r="L32" s="45">
        <f t="shared" si="6"/>
        <v>0</v>
      </c>
      <c r="M32" s="43">
        <f t="shared" si="2"/>
        <v>0</v>
      </c>
      <c r="N32" s="42" t="str">
        <f t="shared" si="3"/>
        <v/>
      </c>
    </row>
    <row r="33" spans="1:17" ht="13.2" hidden="1" x14ac:dyDescent="0.25">
      <c r="A33" s="75">
        <f t="shared" ref="A33:A38" si="7">+A27</f>
        <v>61</v>
      </c>
      <c r="B33" s="69" t="s">
        <v>24</v>
      </c>
      <c r="D33" s="50"/>
      <c r="E33" s="119"/>
      <c r="F33" s="45">
        <f t="shared" si="1"/>
        <v>0</v>
      </c>
      <c r="G33" s="51" t="s">
        <v>173</v>
      </c>
      <c r="H33" s="45">
        <f t="shared" si="4"/>
        <v>0</v>
      </c>
      <c r="I33" s="45" t="str">
        <f>IF(J33="Y",5800.19," ")</f>
        <v xml:space="preserve"> </v>
      </c>
      <c r="J33" s="52" t="s">
        <v>171</v>
      </c>
      <c r="K33" s="45">
        <f t="shared" si="5"/>
        <v>0</v>
      </c>
      <c r="L33" s="45">
        <f>IF(E33&gt;7000,7000*$K$5,E33*$K$5)</f>
        <v>0</v>
      </c>
      <c r="M33" s="43">
        <f>SUM(H33:L33,E33:F33)</f>
        <v>0</v>
      </c>
      <c r="N33" s="42" t="str">
        <f t="shared" si="3"/>
        <v/>
      </c>
    </row>
    <row r="34" spans="1:17" ht="15.9" hidden="1" customHeight="1" x14ac:dyDescent="0.25">
      <c r="A34" s="75">
        <f t="shared" si="7"/>
        <v>0</v>
      </c>
      <c r="B34" s="69" t="s">
        <v>24</v>
      </c>
      <c r="C34" s="70"/>
      <c r="D34" s="50"/>
      <c r="E34" s="119"/>
      <c r="F34" s="45">
        <f t="shared" si="1"/>
        <v>0</v>
      </c>
      <c r="G34" s="51" t="s">
        <v>173</v>
      </c>
      <c r="H34" s="45">
        <f t="shared" si="4"/>
        <v>0</v>
      </c>
      <c r="I34" s="45" t="str">
        <f>IF(J34="Y",5800.19," ")</f>
        <v xml:space="preserve"> </v>
      </c>
      <c r="J34" s="52" t="s">
        <v>171</v>
      </c>
      <c r="K34" s="45">
        <f t="shared" si="5"/>
        <v>0</v>
      </c>
      <c r="L34" s="45">
        <f>IF(E34&gt;7000,7000*$K$5,E34*$K$5)</f>
        <v>0</v>
      </c>
      <c r="M34" s="43">
        <f>SUM(H34:L34,E34:F34)</f>
        <v>0</v>
      </c>
      <c r="N34" s="42" t="str">
        <f t="shared" si="3"/>
        <v/>
      </c>
    </row>
    <row r="35" spans="1:17" ht="13.2" hidden="1" x14ac:dyDescent="0.25">
      <c r="A35" s="75">
        <f t="shared" si="7"/>
        <v>1</v>
      </c>
      <c r="B35" s="69" t="s">
        <v>24</v>
      </c>
      <c r="D35" s="50"/>
      <c r="E35" s="119"/>
      <c r="F35" s="45">
        <f t="shared" si="1"/>
        <v>0</v>
      </c>
      <c r="G35" s="51" t="s">
        <v>173</v>
      </c>
      <c r="H35" s="45">
        <f t="shared" si="4"/>
        <v>0</v>
      </c>
      <c r="I35" s="45" t="str">
        <f>IF(J35="Y",5800.19," ")</f>
        <v xml:space="preserve"> </v>
      </c>
      <c r="J35" s="52" t="s">
        <v>171</v>
      </c>
      <c r="K35" s="45">
        <f t="shared" si="5"/>
        <v>0</v>
      </c>
      <c r="L35" s="45">
        <f t="shared" si="6"/>
        <v>0</v>
      </c>
      <c r="M35" s="43">
        <f t="shared" si="2"/>
        <v>0</v>
      </c>
      <c r="N35" s="42" t="str">
        <f t="shared" si="3"/>
        <v/>
      </c>
    </row>
    <row r="36" spans="1:17" ht="13.2" hidden="1" x14ac:dyDescent="0.25">
      <c r="A36" s="75">
        <f t="shared" si="7"/>
        <v>5</v>
      </c>
      <c r="B36" s="69" t="s">
        <v>24</v>
      </c>
      <c r="C36" s="70"/>
      <c r="D36" s="50"/>
      <c r="E36" s="119"/>
      <c r="F36" s="45">
        <f t="shared" si="1"/>
        <v>0</v>
      </c>
      <c r="G36" s="51" t="s">
        <v>173</v>
      </c>
      <c r="H36" s="45">
        <f t="shared" si="4"/>
        <v>0</v>
      </c>
      <c r="I36" s="45" t="str">
        <f>IF(J36="Y",5800.19," ")</f>
        <v xml:space="preserve"> </v>
      </c>
      <c r="J36" s="52" t="s">
        <v>171</v>
      </c>
      <c r="K36" s="45">
        <f t="shared" si="5"/>
        <v>0</v>
      </c>
      <c r="L36" s="45">
        <f>IF(E36&gt;7000,7000*$K$5,E36*$K$5)</f>
        <v>0</v>
      </c>
      <c r="M36" s="43">
        <f>SUM(H36:L36,E36:F36)</f>
        <v>0</v>
      </c>
      <c r="N36" s="42" t="str">
        <f t="shared" si="3"/>
        <v/>
      </c>
    </row>
    <row r="37" spans="1:17" ht="13.2" hidden="1" x14ac:dyDescent="0.25">
      <c r="A37" s="75">
        <f t="shared" si="7"/>
        <v>6</v>
      </c>
      <c r="B37" s="69" t="s">
        <v>24</v>
      </c>
      <c r="C37" s="70"/>
      <c r="D37" s="50"/>
      <c r="E37" s="119"/>
      <c r="F37" s="45">
        <f t="shared" si="1"/>
        <v>0</v>
      </c>
      <c r="G37" s="51" t="s">
        <v>173</v>
      </c>
      <c r="H37" s="45">
        <f t="shared" si="4"/>
        <v>0</v>
      </c>
      <c r="I37" s="45" t="str">
        <f>IF(J37="Y",5800.19," ")</f>
        <v xml:space="preserve"> </v>
      </c>
      <c r="J37" s="52" t="s">
        <v>171</v>
      </c>
      <c r="K37" s="45">
        <f t="shared" si="5"/>
        <v>0</v>
      </c>
      <c r="L37" s="45">
        <f>IF(E37&gt;7000,7000*$K$5,E37*$K$5)</f>
        <v>0</v>
      </c>
      <c r="M37" s="43">
        <f>SUM(H37:L37,E37:F37)</f>
        <v>0</v>
      </c>
      <c r="N37" s="42" t="str">
        <f t="shared" si="3"/>
        <v/>
      </c>
    </row>
    <row r="38" spans="1:17" ht="15.9" hidden="1" customHeight="1" x14ac:dyDescent="0.25">
      <c r="A38" s="75">
        <f t="shared" si="7"/>
        <v>7</v>
      </c>
      <c r="B38" s="69" t="s">
        <v>24</v>
      </c>
      <c r="C38" s="70"/>
      <c r="D38" s="50"/>
      <c r="E38" s="119"/>
      <c r="F38" s="45">
        <f t="shared" si="1"/>
        <v>0</v>
      </c>
      <c r="G38" s="51" t="s">
        <v>173</v>
      </c>
      <c r="H38" s="45">
        <f t="shared" si="4"/>
        <v>0</v>
      </c>
      <c r="I38" s="45" t="str">
        <f>IF(J38="Y",5800.19," ")</f>
        <v xml:space="preserve"> </v>
      </c>
      <c r="J38" s="52" t="s">
        <v>171</v>
      </c>
      <c r="K38" s="45">
        <f t="shared" si="5"/>
        <v>0</v>
      </c>
      <c r="L38" s="45">
        <f t="shared" si="6"/>
        <v>0</v>
      </c>
      <c r="M38" s="43">
        <f t="shared" si="2"/>
        <v>0</v>
      </c>
      <c r="N38" s="42" t="str">
        <f t="shared" si="3"/>
        <v/>
      </c>
      <c r="O38" s="42" t="s">
        <v>422</v>
      </c>
      <c r="P38" s="42" t="s">
        <v>504</v>
      </c>
      <c r="Q38" s="42">
        <v>1457.5</v>
      </c>
    </row>
    <row r="39" spans="1:17" ht="15.9" hidden="1" customHeight="1" x14ac:dyDescent="0.25">
      <c r="A39" s="76"/>
      <c r="B39" s="69" t="s">
        <v>24</v>
      </c>
      <c r="C39" s="70"/>
      <c r="D39" s="50"/>
      <c r="E39" s="119"/>
      <c r="F39" s="45">
        <f t="shared" si="1"/>
        <v>0</v>
      </c>
      <c r="G39" s="51" t="s">
        <v>173</v>
      </c>
      <c r="H39" s="45">
        <f t="shared" si="4"/>
        <v>0</v>
      </c>
      <c r="I39" s="45" t="str">
        <f>IF(J39="Y",5800.19," ")</f>
        <v xml:space="preserve"> </v>
      </c>
      <c r="J39" s="52" t="s">
        <v>171</v>
      </c>
      <c r="K39" s="45">
        <f t="shared" si="5"/>
        <v>0</v>
      </c>
      <c r="L39" s="45">
        <f t="shared" si="6"/>
        <v>0</v>
      </c>
      <c r="M39" s="43">
        <f t="shared" si="2"/>
        <v>0</v>
      </c>
      <c r="N39" s="42" t="str">
        <f t="shared" si="3"/>
        <v/>
      </c>
      <c r="O39" s="42" t="s">
        <v>423</v>
      </c>
      <c r="P39" s="42" t="s">
        <v>504</v>
      </c>
      <c r="Q39" s="42">
        <v>2208.33</v>
      </c>
    </row>
    <row r="40" spans="1:17" ht="15.9" customHeight="1" x14ac:dyDescent="0.25">
      <c r="A40" s="76">
        <v>1</v>
      </c>
      <c r="B40" s="97" t="s">
        <v>286</v>
      </c>
      <c r="C40" s="99" t="s">
        <v>1</v>
      </c>
      <c r="D40" s="54">
        <f>SUM(D15:D39)</f>
        <v>3665.83</v>
      </c>
      <c r="E40" s="54">
        <f>SUM(E15:E39)</f>
        <v>87979.92</v>
      </c>
      <c r="F40" s="54">
        <f t="shared" ref="F40:M40" si="8">SUM(F15:F39)</f>
        <v>6343.3522319999993</v>
      </c>
      <c r="G40" s="54">
        <f t="shared" si="8"/>
        <v>0</v>
      </c>
      <c r="H40" s="54">
        <f t="shared" si="8"/>
        <v>6730.4638799999993</v>
      </c>
      <c r="I40" s="54">
        <f>SUM(I15:I39)</f>
        <v>5800.19</v>
      </c>
      <c r="J40" s="54"/>
      <c r="K40" s="54">
        <f t="shared" si="8"/>
        <v>439.89959999999996</v>
      </c>
      <c r="L40" s="54">
        <f t="shared" si="8"/>
        <v>560</v>
      </c>
      <c r="M40" s="54">
        <f t="shared" si="8"/>
        <v>107853.82571199999</v>
      </c>
      <c r="N40" s="42" t="str">
        <f t="shared" si="3"/>
        <v>*</v>
      </c>
      <c r="O40" s="42" t="s">
        <v>424</v>
      </c>
      <c r="P40" s="42" t="s">
        <v>502</v>
      </c>
      <c r="Q40" s="42" t="s">
        <v>503</v>
      </c>
    </row>
    <row r="41" spans="1:17" ht="13.2" x14ac:dyDescent="0.25">
      <c r="A41" s="76">
        <v>8</v>
      </c>
      <c r="B41" s="91"/>
      <c r="C41" s="100"/>
      <c r="D41" s="50"/>
      <c r="E41" s="54"/>
      <c r="F41" s="53"/>
      <c r="H41" s="53"/>
      <c r="I41" s="53"/>
      <c r="J41" s="53"/>
      <c r="K41" s="53"/>
      <c r="L41" s="53"/>
      <c r="M41" s="53"/>
      <c r="N41" s="42" t="str">
        <f>IF(N40="*","*","")</f>
        <v>*</v>
      </c>
      <c r="O41" s="42" t="s">
        <v>515</v>
      </c>
      <c r="P41" s="42" t="s">
        <v>516</v>
      </c>
      <c r="Q41" s="42" t="s">
        <v>517</v>
      </c>
    </row>
    <row r="42" spans="1:17" ht="13.8" customHeight="1" x14ac:dyDescent="0.25">
      <c r="A42" s="76">
        <v>1</v>
      </c>
      <c r="B42" s="69" t="s">
        <v>408</v>
      </c>
      <c r="C42" s="98" t="s">
        <v>424</v>
      </c>
      <c r="E42" s="119">
        <f>8.37*180*2</f>
        <v>3013.2</v>
      </c>
      <c r="F42" s="45">
        <f t="shared" ref="F42" si="9">IF(G42="Y",E42*$F$5," ")</f>
        <v>217.25171999999998</v>
      </c>
      <c r="G42" s="51" t="s">
        <v>173</v>
      </c>
      <c r="H42" s="45">
        <f>+$E42*$H$5</f>
        <v>230.50979999999998</v>
      </c>
      <c r="I42" s="45" t="str">
        <f>IF(J42="Y",5800.19," ")</f>
        <v xml:space="preserve"> </v>
      </c>
      <c r="J42" s="52" t="s">
        <v>171</v>
      </c>
      <c r="K42" s="45">
        <f>+$E42*$I$5</f>
        <v>15.065999999999999</v>
      </c>
      <c r="L42" s="45">
        <f>IF(E42&gt;7000,7000*$K$5,E42*$K$5)</f>
        <v>120.52799999999999</v>
      </c>
      <c r="M42" s="43">
        <f>SUM(H42:L42,E42:F42)</f>
        <v>3596.5555199999999</v>
      </c>
      <c r="N42" s="42" t="str">
        <f t="shared" ref="N42" si="10">IF(M42&gt;0.49,"*","")</f>
        <v>*</v>
      </c>
      <c r="O42" s="42" t="s">
        <v>519</v>
      </c>
      <c r="P42" s="42" t="s">
        <v>516</v>
      </c>
      <c r="Q42" s="42" t="s">
        <v>503</v>
      </c>
    </row>
    <row r="43" spans="1:17" ht="13.8" customHeight="1" x14ac:dyDescent="0.25">
      <c r="A43" s="76">
        <v>1</v>
      </c>
      <c r="B43" s="69" t="s">
        <v>408</v>
      </c>
      <c r="C43" s="98" t="s">
        <v>515</v>
      </c>
      <c r="E43" s="119">
        <f>8.05*180*2</f>
        <v>2898.0000000000005</v>
      </c>
      <c r="F43" s="45">
        <f t="shared" ref="F43" si="11">IF(G43="Y",E43*$F$5," ")</f>
        <v>208.94580000000002</v>
      </c>
      <c r="G43" s="51" t="s">
        <v>173</v>
      </c>
      <c r="H43" s="45">
        <f>+$E43*$H$5</f>
        <v>221.69700000000003</v>
      </c>
      <c r="I43" s="45" t="str">
        <f>IF(J43="Y",5800.19," ")</f>
        <v xml:space="preserve"> </v>
      </c>
      <c r="J43" s="52" t="s">
        <v>171</v>
      </c>
      <c r="K43" s="45">
        <f>+$E43*$I$5</f>
        <v>14.490000000000002</v>
      </c>
      <c r="L43" s="45">
        <f>IF(E43&gt;7000,7000*$K$5,E43*$K$5)</f>
        <v>115.92000000000002</v>
      </c>
      <c r="M43" s="43">
        <f>SUM(H43:L43,E43:F43)</f>
        <v>3459.0528000000004</v>
      </c>
      <c r="N43" s="42" t="str">
        <f t="shared" ref="N43" si="12">IF(M43&gt;0.49,"*","")</f>
        <v>*</v>
      </c>
      <c r="O43" s="42" t="s">
        <v>425</v>
      </c>
      <c r="P43" s="42" t="s">
        <v>500</v>
      </c>
      <c r="Q43" s="42" t="s">
        <v>499</v>
      </c>
    </row>
    <row r="44" spans="1:17" ht="13.8" customHeight="1" x14ac:dyDescent="0.25">
      <c r="A44" s="76">
        <v>1</v>
      </c>
      <c r="B44" s="69" t="s">
        <v>408</v>
      </c>
      <c r="C44" s="98" t="s">
        <v>520</v>
      </c>
      <c r="E44" s="119">
        <f>8.37*180*2</f>
        <v>3013.2</v>
      </c>
      <c r="F44" s="45">
        <f t="shared" ref="F44" si="13">IF(G44="Y",E44*$F$5," ")</f>
        <v>217.25171999999998</v>
      </c>
      <c r="G44" s="51" t="s">
        <v>173</v>
      </c>
      <c r="H44" s="45">
        <f>+$E44*$H$5</f>
        <v>230.50979999999998</v>
      </c>
      <c r="I44" s="45" t="str">
        <f>IF(J44="Y",5800.19," ")</f>
        <v xml:space="preserve"> </v>
      </c>
      <c r="J44" s="52" t="s">
        <v>171</v>
      </c>
      <c r="K44" s="45">
        <f>+$E44*$I$5</f>
        <v>15.065999999999999</v>
      </c>
      <c r="L44" s="45">
        <f>IF(E44&gt;7000,7000*$K$5,E44*$K$5)</f>
        <v>120.52799999999999</v>
      </c>
      <c r="M44" s="43">
        <f>SUM(H44:L44,E44:F44)</f>
        <v>3596.5555199999999</v>
      </c>
      <c r="N44" s="42" t="str">
        <f t="shared" ref="N44:N45" si="14">IF(M44&gt;0.49,"*","")</f>
        <v>*</v>
      </c>
      <c r="O44" s="42" t="s">
        <v>426</v>
      </c>
      <c r="P44" s="42" t="s">
        <v>500</v>
      </c>
      <c r="Q44" s="42" t="s">
        <v>501</v>
      </c>
    </row>
    <row r="45" spans="1:17" ht="15.9" customHeight="1" x14ac:dyDescent="0.25">
      <c r="A45" s="76">
        <f>+A44</f>
        <v>1</v>
      </c>
      <c r="B45" s="157" t="s">
        <v>409</v>
      </c>
      <c r="C45" s="99" t="s">
        <v>407</v>
      </c>
      <c r="D45" s="54">
        <f>SUM(D42:D44)</f>
        <v>0</v>
      </c>
      <c r="E45" s="54">
        <f>SUM(E42:E44)</f>
        <v>8924.4000000000015</v>
      </c>
      <c r="F45" s="54">
        <f t="shared" ref="F45:M45" si="15">SUM(F42:F44)</f>
        <v>643.44923999999992</v>
      </c>
      <c r="G45" s="54">
        <f t="shared" si="15"/>
        <v>0</v>
      </c>
      <c r="H45" s="54">
        <f t="shared" si="15"/>
        <v>682.71659999999997</v>
      </c>
      <c r="I45" s="54">
        <f t="shared" si="15"/>
        <v>0</v>
      </c>
      <c r="J45" s="54"/>
      <c r="K45" s="54">
        <f t="shared" si="15"/>
        <v>44.622</v>
      </c>
      <c r="L45" s="54">
        <f t="shared" si="15"/>
        <v>356.976</v>
      </c>
      <c r="M45" s="54">
        <f t="shared" si="15"/>
        <v>10652.163840000001</v>
      </c>
      <c r="N45" s="42" t="str">
        <f t="shared" si="14"/>
        <v>*</v>
      </c>
      <c r="O45" s="42" t="s">
        <v>427</v>
      </c>
      <c r="P45" s="42" t="s">
        <v>500</v>
      </c>
      <c r="Q45" s="42" t="s">
        <v>507</v>
      </c>
    </row>
    <row r="46" spans="1:17" ht="15.9" customHeight="1" x14ac:dyDescent="0.25">
      <c r="A46" s="79"/>
      <c r="B46" s="158"/>
      <c r="C46" s="78"/>
      <c r="D46" s="50"/>
      <c r="E46" s="44"/>
      <c r="F46" s="43"/>
      <c r="N46" s="42" t="str">
        <f>IF(N45="*","*","")</f>
        <v>*</v>
      </c>
      <c r="O46" s="42" t="s">
        <v>428</v>
      </c>
      <c r="P46" s="42" t="s">
        <v>500</v>
      </c>
      <c r="Q46" s="42" t="s">
        <v>511</v>
      </c>
    </row>
    <row r="47" spans="1:17" ht="15.9" hidden="1" customHeight="1" x14ac:dyDescent="0.25">
      <c r="A47" s="76">
        <v>9</v>
      </c>
      <c r="B47" s="69" t="s">
        <v>183</v>
      </c>
      <c r="C47" s="42"/>
      <c r="D47" s="50"/>
      <c r="E47" s="119"/>
      <c r="F47" s="45">
        <f t="shared" ref="F47:F50" si="16">IF(G47="Y",E47*$F$5," ")</f>
        <v>0</v>
      </c>
      <c r="G47" s="51" t="s">
        <v>173</v>
      </c>
      <c r="H47" s="45">
        <f>+$E47*$H$5</f>
        <v>0</v>
      </c>
      <c r="I47" s="45" t="str">
        <f>IF(J47="Y",5800.19," ")</f>
        <v xml:space="preserve"> </v>
      </c>
      <c r="J47" s="52" t="s">
        <v>171</v>
      </c>
      <c r="K47" s="45">
        <f>+$E47*$I$5</f>
        <v>0</v>
      </c>
      <c r="L47" s="45">
        <f>IF(E47&gt;7000,7000*$K$5,E47*$K$5)</f>
        <v>0</v>
      </c>
      <c r="M47" s="43">
        <f>SUM(H47:L47,E47:F47)</f>
        <v>0</v>
      </c>
      <c r="N47" s="42" t="str">
        <f t="shared" si="3"/>
        <v/>
      </c>
      <c r="O47" s="42" t="s">
        <v>429</v>
      </c>
      <c r="P47" s="42" t="s">
        <v>500</v>
      </c>
      <c r="Q47" s="42" t="s">
        <v>511</v>
      </c>
    </row>
    <row r="48" spans="1:17" ht="15.9" hidden="1" customHeight="1" x14ac:dyDescent="0.25">
      <c r="A48" s="76">
        <f>A47</f>
        <v>9</v>
      </c>
      <c r="B48" s="69" t="s">
        <v>183</v>
      </c>
      <c r="C48" s="112"/>
      <c r="D48" s="50"/>
      <c r="E48" s="119"/>
      <c r="F48" s="45">
        <f t="shared" si="16"/>
        <v>0</v>
      </c>
      <c r="G48" s="51" t="s">
        <v>173</v>
      </c>
      <c r="H48" s="45">
        <f>+$E48*$H$5</f>
        <v>0</v>
      </c>
      <c r="I48" s="45" t="str">
        <f>IF(J48="Y",5800.19," ")</f>
        <v xml:space="preserve"> </v>
      </c>
      <c r="J48" s="52" t="s">
        <v>171</v>
      </c>
      <c r="K48" s="45">
        <f>+$E48*$I$5</f>
        <v>0</v>
      </c>
      <c r="L48" s="45">
        <f>IF(E48&gt;7000,7000*$K$5,E48*$K$5)</f>
        <v>0</v>
      </c>
      <c r="M48" s="43">
        <f>SUM(H48:L48,E48:F48)</f>
        <v>0</v>
      </c>
      <c r="N48" s="42" t="str">
        <f t="shared" si="3"/>
        <v/>
      </c>
      <c r="O48" s="42" t="s">
        <v>430</v>
      </c>
      <c r="P48" s="42" t="s">
        <v>500</v>
      </c>
      <c r="Q48" s="42" t="s">
        <v>514</v>
      </c>
    </row>
    <row r="49" spans="1:17 16380:16384" ht="15.9" hidden="1" customHeight="1" x14ac:dyDescent="0.25">
      <c r="A49" s="76"/>
      <c r="B49" s="69" t="s">
        <v>183</v>
      </c>
      <c r="C49" s="112"/>
      <c r="D49" s="50"/>
      <c r="E49" s="119"/>
      <c r="F49" s="45">
        <f t="shared" si="16"/>
        <v>0</v>
      </c>
      <c r="G49" s="51" t="s">
        <v>173</v>
      </c>
      <c r="H49" s="45">
        <f>+$E49*$H$5</f>
        <v>0</v>
      </c>
      <c r="I49" s="45" t="str">
        <f>IF(J49="Y",5800.19," ")</f>
        <v xml:space="preserve"> </v>
      </c>
      <c r="J49" s="52" t="s">
        <v>171</v>
      </c>
      <c r="K49" s="45">
        <f>+$E49*$I$5</f>
        <v>0</v>
      </c>
      <c r="L49" s="45">
        <f>IF(E49&gt;7000,7000*$K$5,E49*$K$5)</f>
        <v>0</v>
      </c>
      <c r="M49" s="43">
        <f>SUM(H49:L49,E49:F49)</f>
        <v>0</v>
      </c>
      <c r="N49" s="42" t="str">
        <f t="shared" si="3"/>
        <v/>
      </c>
      <c r="O49" s="42" t="s">
        <v>431</v>
      </c>
      <c r="P49" s="42" t="s">
        <v>500</v>
      </c>
      <c r="Q49" s="42" t="s">
        <v>510</v>
      </c>
    </row>
    <row r="50" spans="1:17 16380:16384" ht="15.9" hidden="1" customHeight="1" x14ac:dyDescent="0.25">
      <c r="A50" s="76">
        <v>1</v>
      </c>
      <c r="B50" s="69" t="s">
        <v>183</v>
      </c>
      <c r="C50" s="112"/>
      <c r="D50" s="50"/>
      <c r="E50" s="119"/>
      <c r="F50" s="45">
        <f t="shared" si="16"/>
        <v>0</v>
      </c>
      <c r="G50" s="51" t="s">
        <v>173</v>
      </c>
      <c r="H50" s="45">
        <f>+$E50*$H$5</f>
        <v>0</v>
      </c>
      <c r="I50" s="45" t="str">
        <f>IF(J50="Y",5800.19," ")</f>
        <v xml:space="preserve"> </v>
      </c>
      <c r="J50" s="52" t="s">
        <v>171</v>
      </c>
      <c r="K50" s="45">
        <f>+$E50*$I$5</f>
        <v>0</v>
      </c>
      <c r="L50" s="45">
        <f>IF(E50&gt;7000,7000*$K$5,E50*$K$5)</f>
        <v>0</v>
      </c>
      <c r="M50" s="43">
        <f>SUM(H50:L50,E50:F50)</f>
        <v>0</v>
      </c>
      <c r="N50" s="42" t="str">
        <f t="shared" si="3"/>
        <v/>
      </c>
      <c r="O50" s="42" t="s">
        <v>508</v>
      </c>
      <c r="P50" s="42" t="s">
        <v>509</v>
      </c>
      <c r="Q50" s="42" t="s">
        <v>510</v>
      </c>
    </row>
    <row r="51" spans="1:17 16380:16384" ht="15.9" hidden="1" customHeight="1" x14ac:dyDescent="0.25">
      <c r="A51" s="76">
        <f>+A50</f>
        <v>1</v>
      </c>
      <c r="B51" s="97" t="s">
        <v>220</v>
      </c>
      <c r="C51" s="99" t="s">
        <v>184</v>
      </c>
      <c r="D51" s="50"/>
      <c r="E51" s="54">
        <f>SUM(E47:E50)</f>
        <v>0</v>
      </c>
      <c r="F51" s="54">
        <f t="shared" ref="F51:M51" si="17">SUM(F47:F50)</f>
        <v>0</v>
      </c>
      <c r="G51" s="54">
        <f t="shared" si="17"/>
        <v>0</v>
      </c>
      <c r="H51" s="54">
        <f t="shared" si="17"/>
        <v>0</v>
      </c>
      <c r="I51" s="54">
        <f t="shared" si="17"/>
        <v>0</v>
      </c>
      <c r="J51" s="54"/>
      <c r="K51" s="54">
        <f t="shared" si="17"/>
        <v>0</v>
      </c>
      <c r="L51" s="54">
        <f t="shared" si="17"/>
        <v>0</v>
      </c>
      <c r="M51" s="54">
        <f t="shared" si="17"/>
        <v>0</v>
      </c>
      <c r="N51" s="42" t="str">
        <f t="shared" si="3"/>
        <v/>
      </c>
      <c r="O51" s="42" t="s">
        <v>518</v>
      </c>
      <c r="P51" s="42" t="s">
        <v>509</v>
      </c>
      <c r="Q51" s="42" t="s">
        <v>517</v>
      </c>
    </row>
    <row r="52" spans="1:17 16380:16384" ht="15.9" hidden="1" customHeight="1" x14ac:dyDescent="0.25">
      <c r="A52" s="76"/>
      <c r="B52" s="74"/>
      <c r="C52" s="78"/>
      <c r="D52" s="50"/>
      <c r="E52" s="44"/>
      <c r="F52" s="43"/>
      <c r="O52" s="42" t="s">
        <v>432</v>
      </c>
      <c r="P52" s="42" t="s">
        <v>498</v>
      </c>
      <c r="Q52" s="42" t="s">
        <v>499</v>
      </c>
    </row>
    <row r="53" spans="1:17 16380:16384" ht="15.9" hidden="1" customHeight="1" x14ac:dyDescent="0.25">
      <c r="A53" s="79">
        <v>1</v>
      </c>
      <c r="B53" s="70" t="s">
        <v>284</v>
      </c>
      <c r="C53" s="78"/>
      <c r="D53" s="50"/>
      <c r="E53" s="119"/>
      <c r="F53" s="45">
        <f t="shared" ref="F53:F73" si="18">IF(G53="Y",E53*$F$5," ")</f>
        <v>0</v>
      </c>
      <c r="G53" s="51" t="s">
        <v>173</v>
      </c>
      <c r="H53" s="45">
        <f>+$E53*$H$5</f>
        <v>0</v>
      </c>
      <c r="I53" s="45" t="str">
        <f>IF(J53="Y",5800.19," ")</f>
        <v xml:space="preserve"> </v>
      </c>
      <c r="J53" s="45" t="s">
        <v>171</v>
      </c>
      <c r="K53" s="45">
        <f>+$E53*$I$5</f>
        <v>0</v>
      </c>
      <c r="L53" s="45">
        <f>IF(E53&gt;7000,7000*$K$5,E53*$K$5)</f>
        <v>0</v>
      </c>
      <c r="M53" s="43">
        <f>SUM(H53:L53,E53:F53)</f>
        <v>0</v>
      </c>
      <c r="N53" s="42" t="str">
        <f t="shared" si="3"/>
        <v/>
      </c>
      <c r="O53" s="42" t="s">
        <v>433</v>
      </c>
      <c r="P53" s="42" t="s">
        <v>498</v>
      </c>
      <c r="Q53" s="42" t="s">
        <v>512</v>
      </c>
    </row>
    <row r="54" spans="1:17 16380:16384" ht="13.2" hidden="1" x14ac:dyDescent="0.25">
      <c r="A54" s="79">
        <v>3</v>
      </c>
      <c r="B54" s="69" t="s">
        <v>284</v>
      </c>
      <c r="C54" s="70"/>
      <c r="D54" s="50"/>
      <c r="E54" s="119"/>
      <c r="F54" s="45">
        <f t="shared" si="18"/>
        <v>0</v>
      </c>
      <c r="G54" s="51" t="s">
        <v>173</v>
      </c>
      <c r="H54" s="45">
        <f>+$E54*$H$5</f>
        <v>0</v>
      </c>
      <c r="I54" s="45" t="str">
        <f>IF(J54="Y",5800.19," ")</f>
        <v xml:space="preserve"> </v>
      </c>
      <c r="J54" s="45" t="s">
        <v>171</v>
      </c>
      <c r="K54" s="45">
        <f>+$E54*$I$5</f>
        <v>0</v>
      </c>
      <c r="L54" s="45">
        <f>IF(E54&gt;7000,7000*$K$5,E54*$K$5)</f>
        <v>0</v>
      </c>
      <c r="M54" s="43">
        <f>SUM(H54:L54,E54:F54)</f>
        <v>0</v>
      </c>
      <c r="N54" s="42" t="str">
        <f t="shared" si="3"/>
        <v/>
      </c>
      <c r="O54" s="42" t="s">
        <v>434</v>
      </c>
      <c r="P54" s="42" t="s">
        <v>498</v>
      </c>
      <c r="Q54" s="42" t="s">
        <v>513</v>
      </c>
    </row>
    <row r="55" spans="1:17 16380:16384" ht="13.2" x14ac:dyDescent="0.25">
      <c r="A55" s="69">
        <f>+A54</f>
        <v>3</v>
      </c>
      <c r="B55" s="98" t="s">
        <v>284</v>
      </c>
      <c r="C55" s="119" t="s">
        <v>488</v>
      </c>
      <c r="D55" s="45"/>
      <c r="E55" s="45">
        <f>10*180*8</f>
        <v>14400</v>
      </c>
      <c r="F55" s="45">
        <f t="shared" si="18"/>
        <v>1038.24</v>
      </c>
      <c r="G55" s="45" t="s">
        <v>173</v>
      </c>
      <c r="H55" s="45">
        <f>+$E55*$H$5</f>
        <v>1101.5999999999999</v>
      </c>
      <c r="I55" s="43" t="str">
        <f>IF(J55="Y",5800.19," ")</f>
        <v xml:space="preserve"> </v>
      </c>
      <c r="J55" s="42" t="s">
        <v>171</v>
      </c>
      <c r="K55" s="42">
        <f>+$E55*$I$5</f>
        <v>72</v>
      </c>
      <c r="L55" s="42">
        <f>IF(E55&gt;7000,7000*$K$5,E55*$K$5)</f>
        <v>280</v>
      </c>
      <c r="M55" s="42">
        <f>SUM(H55:L55,E55:F55)</f>
        <v>16891.84</v>
      </c>
      <c r="N55" s="42" t="str">
        <f t="shared" si="3"/>
        <v>*</v>
      </c>
      <c r="O55" s="42" t="s">
        <v>435</v>
      </c>
      <c r="P55" s="42" t="s">
        <v>498</v>
      </c>
      <c r="Q55" s="42" t="s">
        <v>512</v>
      </c>
      <c r="XEZ55"/>
      <c r="XFA55"/>
      <c r="XFB55" s="98"/>
      <c r="XFC55" s="119"/>
      <c r="XFD55" s="45"/>
    </row>
    <row r="56" spans="1:17 16380:16384" ht="13.2" x14ac:dyDescent="0.25">
      <c r="A56" s="76"/>
      <c r="B56" s="69" t="s">
        <v>284</v>
      </c>
      <c r="C56" s="70" t="s">
        <v>489</v>
      </c>
      <c r="D56" s="50"/>
      <c r="E56" s="119">
        <f>13.32*180*8</f>
        <v>19180.8</v>
      </c>
      <c r="F56" s="45">
        <f t="shared" si="18"/>
        <v>1382.9356799999998</v>
      </c>
      <c r="G56" s="51" t="s">
        <v>173</v>
      </c>
      <c r="H56" s="45">
        <f t="shared" ref="H56:H72" si="19">+$E56*$H$5</f>
        <v>1467.3311999999999</v>
      </c>
      <c r="I56" s="45">
        <f>IF(J56="Y",5800.19," ")</f>
        <v>5800.19</v>
      </c>
      <c r="J56" s="45" t="s">
        <v>173</v>
      </c>
      <c r="K56" s="45">
        <f t="shared" ref="K56:K72" si="20">+$E56*$I$5</f>
        <v>95.903999999999996</v>
      </c>
      <c r="L56" s="45">
        <f>IF(E56&gt;7000,7000*$K$5,E56*$K$5)</f>
        <v>280</v>
      </c>
      <c r="M56" s="43">
        <f>SUM(H56:L56,E56:F56)</f>
        <v>28207.160879999999</v>
      </c>
      <c r="N56" s="42" t="str">
        <f t="shared" si="3"/>
        <v>*</v>
      </c>
      <c r="O56" s="42" t="s">
        <v>436</v>
      </c>
      <c r="P56" s="42" t="s">
        <v>505</v>
      </c>
      <c r="Q56" s="42" t="s">
        <v>506</v>
      </c>
    </row>
    <row r="57" spans="1:17 16380:16384" ht="13.2" x14ac:dyDescent="0.25">
      <c r="A57" s="76"/>
      <c r="B57" s="69" t="s">
        <v>284</v>
      </c>
      <c r="C57" s="70" t="s">
        <v>490</v>
      </c>
      <c r="D57" s="50"/>
      <c r="E57" s="119">
        <f>12.76*180*8</f>
        <v>18374.400000000001</v>
      </c>
      <c r="F57" s="45">
        <f t="shared" si="18"/>
        <v>1324.7942399999999</v>
      </c>
      <c r="G57" s="51" t="s">
        <v>173</v>
      </c>
      <c r="H57" s="45">
        <f t="shared" si="19"/>
        <v>1405.6416000000002</v>
      </c>
      <c r="I57" s="45">
        <f>IF(J57="Y",5800.19," ")</f>
        <v>5800.19</v>
      </c>
      <c r="J57" s="45" t="s">
        <v>173</v>
      </c>
      <c r="K57" s="45">
        <f t="shared" si="20"/>
        <v>91.872000000000014</v>
      </c>
      <c r="L57" s="45">
        <f t="shared" ref="L57:L71" si="21">IF(E57&gt;7000,7000*$K$5,E57*$K$5)</f>
        <v>280</v>
      </c>
      <c r="M57" s="43">
        <f t="shared" ref="M57:M71" si="22">SUM(H57:L57,E57:F57)</f>
        <v>27276.897840000001</v>
      </c>
      <c r="N57" s="42" t="str">
        <f t="shared" si="3"/>
        <v>*</v>
      </c>
    </row>
    <row r="58" spans="1:17 16380:16384" ht="13.2" x14ac:dyDescent="0.25">
      <c r="A58" s="76">
        <v>7</v>
      </c>
      <c r="B58" s="69" t="s">
        <v>284</v>
      </c>
      <c r="C58" s="70" t="s">
        <v>491</v>
      </c>
      <c r="D58" s="50"/>
      <c r="E58" s="119">
        <f>11.2*180*8</f>
        <v>16127.999999999998</v>
      </c>
      <c r="F58" s="45">
        <f t="shared" si="18"/>
        <v>1162.8287999999998</v>
      </c>
      <c r="G58" s="51" t="s">
        <v>173</v>
      </c>
      <c r="H58" s="45">
        <f t="shared" si="19"/>
        <v>1233.7919999999999</v>
      </c>
      <c r="I58" s="45" t="str">
        <f>IF(J58="Y",5800.19," ")</f>
        <v xml:space="preserve"> </v>
      </c>
      <c r="J58" s="45" t="s">
        <v>171</v>
      </c>
      <c r="K58" s="45">
        <f t="shared" si="20"/>
        <v>80.639999999999986</v>
      </c>
      <c r="L58" s="45">
        <f t="shared" si="21"/>
        <v>280</v>
      </c>
      <c r="M58" s="43">
        <f t="shared" si="22"/>
        <v>18885.260799999996</v>
      </c>
      <c r="N58" s="42" t="str">
        <f t="shared" si="3"/>
        <v>*</v>
      </c>
    </row>
    <row r="59" spans="1:17 16380:16384" ht="13.2" x14ac:dyDescent="0.25">
      <c r="A59" s="76">
        <f>+A58</f>
        <v>7</v>
      </c>
      <c r="B59" s="69" t="s">
        <v>284</v>
      </c>
      <c r="C59" s="70" t="s">
        <v>492</v>
      </c>
      <c r="D59" s="50"/>
      <c r="E59" s="119">
        <f>11.2*180*8</f>
        <v>16127.999999999998</v>
      </c>
      <c r="F59" s="45">
        <f t="shared" si="18"/>
        <v>1162.8287999999998</v>
      </c>
      <c r="G59" s="51" t="s">
        <v>173</v>
      </c>
      <c r="H59" s="45">
        <f t="shared" si="19"/>
        <v>1233.7919999999999</v>
      </c>
      <c r="I59" s="45" t="str">
        <f>IF(J59="Y",5800.19," ")</f>
        <v xml:space="preserve"> </v>
      </c>
      <c r="J59" s="45" t="s">
        <v>171</v>
      </c>
      <c r="K59" s="45">
        <f t="shared" si="20"/>
        <v>80.639999999999986</v>
      </c>
      <c r="L59" s="45">
        <f t="shared" si="21"/>
        <v>280</v>
      </c>
      <c r="M59" s="43">
        <f t="shared" si="22"/>
        <v>18885.260799999996</v>
      </c>
      <c r="N59" s="42" t="str">
        <f t="shared" si="3"/>
        <v>*</v>
      </c>
    </row>
    <row r="60" spans="1:17 16380:16384" ht="13.2" x14ac:dyDescent="0.25">
      <c r="A60" s="76">
        <f>+A59</f>
        <v>7</v>
      </c>
      <c r="B60" s="69" t="s">
        <v>284</v>
      </c>
      <c r="C60" s="70" t="s">
        <v>493</v>
      </c>
      <c r="D60" s="50"/>
      <c r="E60" s="119">
        <f>12.03*180*8</f>
        <v>17323.2</v>
      </c>
      <c r="F60" s="45">
        <f t="shared" si="18"/>
        <v>1249.00272</v>
      </c>
      <c r="G60" s="51" t="s">
        <v>173</v>
      </c>
      <c r="H60" s="45">
        <f t="shared" si="19"/>
        <v>1325.2248</v>
      </c>
      <c r="I60" s="45">
        <f>IF(J60="Y",5800.19," ")</f>
        <v>5800.19</v>
      </c>
      <c r="J60" s="45" t="s">
        <v>173</v>
      </c>
      <c r="K60" s="45">
        <f t="shared" si="20"/>
        <v>86.616</v>
      </c>
      <c r="L60" s="45">
        <f>IF(E60&gt;7000,7000*$K$5,E60*$K$5)</f>
        <v>280</v>
      </c>
      <c r="M60" s="43">
        <f>SUM(H60:L60,E60:F60)</f>
        <v>26064.233520000002</v>
      </c>
      <c r="N60" s="42" t="str">
        <f t="shared" si="3"/>
        <v>*</v>
      </c>
    </row>
    <row r="61" spans="1:17 16380:16384" ht="13.2" x14ac:dyDescent="0.25">
      <c r="A61" s="76">
        <v>1</v>
      </c>
      <c r="B61" s="69" t="s">
        <v>284</v>
      </c>
      <c r="C61" s="70" t="s">
        <v>431</v>
      </c>
      <c r="D61" s="50"/>
      <c r="E61" s="119">
        <f>65*180</f>
        <v>11700</v>
      </c>
      <c r="F61" s="45">
        <f t="shared" si="18"/>
        <v>843.56999999999994</v>
      </c>
      <c r="G61" s="51" t="s">
        <v>173</v>
      </c>
      <c r="H61" s="45">
        <f t="shared" si="19"/>
        <v>895.05</v>
      </c>
      <c r="I61" s="45" t="str">
        <f>IF(J61="Y",5800.19," ")</f>
        <v xml:space="preserve"> </v>
      </c>
      <c r="J61" s="45" t="s">
        <v>171</v>
      </c>
      <c r="K61" s="45">
        <f t="shared" si="20"/>
        <v>58.5</v>
      </c>
      <c r="L61" s="45">
        <f t="shared" si="21"/>
        <v>280</v>
      </c>
      <c r="M61" s="43">
        <f t="shared" si="22"/>
        <v>13777.119999999999</v>
      </c>
      <c r="N61" s="42" t="str">
        <f t="shared" si="3"/>
        <v>*</v>
      </c>
    </row>
    <row r="62" spans="1:17 16380:16384" ht="13.2" hidden="1" x14ac:dyDescent="0.25">
      <c r="A62" s="76">
        <f>+A61</f>
        <v>1</v>
      </c>
      <c r="B62" s="69" t="s">
        <v>284</v>
      </c>
      <c r="C62" s="70"/>
      <c r="D62" s="50"/>
      <c r="E62" s="119"/>
      <c r="F62" s="45">
        <f t="shared" si="18"/>
        <v>0</v>
      </c>
      <c r="G62" s="51" t="s">
        <v>173</v>
      </c>
      <c r="H62" s="45">
        <f t="shared" si="19"/>
        <v>0</v>
      </c>
      <c r="I62" s="45" t="str">
        <f>IF(J62="Y",5800.19," ")</f>
        <v xml:space="preserve"> </v>
      </c>
      <c r="J62" s="45" t="s">
        <v>171</v>
      </c>
      <c r="K62" s="45">
        <f t="shared" si="20"/>
        <v>0</v>
      </c>
      <c r="L62" s="45">
        <f t="shared" si="21"/>
        <v>0</v>
      </c>
      <c r="M62" s="43">
        <f t="shared" si="22"/>
        <v>0</v>
      </c>
      <c r="N62" s="42" t="str">
        <f t="shared" si="3"/>
        <v/>
      </c>
    </row>
    <row r="63" spans="1:17 16380:16384" ht="13.2" hidden="1" x14ac:dyDescent="0.25">
      <c r="A63" s="76"/>
      <c r="B63" s="69" t="s">
        <v>284</v>
      </c>
      <c r="C63" s="70"/>
      <c r="D63" s="50"/>
      <c r="E63" s="119"/>
      <c r="F63" s="45">
        <f t="shared" si="18"/>
        <v>0</v>
      </c>
      <c r="G63" s="51" t="s">
        <v>173</v>
      </c>
      <c r="H63" s="45">
        <f t="shared" si="19"/>
        <v>0</v>
      </c>
      <c r="I63" s="45" t="str">
        <f>IF(J63="Y",5800.19," ")</f>
        <v xml:space="preserve"> </v>
      </c>
      <c r="J63" s="45" t="s">
        <v>171</v>
      </c>
      <c r="K63" s="45">
        <f t="shared" si="20"/>
        <v>0</v>
      </c>
      <c r="L63" s="45">
        <f t="shared" si="21"/>
        <v>0</v>
      </c>
      <c r="M63" s="43">
        <f t="shared" si="22"/>
        <v>0</v>
      </c>
      <c r="N63" s="42" t="str">
        <f t="shared" si="3"/>
        <v/>
      </c>
    </row>
    <row r="64" spans="1:17 16380:16384" ht="13.2" hidden="1" x14ac:dyDescent="0.25">
      <c r="A64" s="76"/>
      <c r="B64" s="69" t="s">
        <v>284</v>
      </c>
      <c r="C64" s="70"/>
      <c r="D64" s="50"/>
      <c r="E64" s="119"/>
      <c r="F64" s="45">
        <f t="shared" si="18"/>
        <v>0</v>
      </c>
      <c r="G64" s="51" t="s">
        <v>173</v>
      </c>
      <c r="H64" s="45">
        <f t="shared" si="19"/>
        <v>0</v>
      </c>
      <c r="I64" s="45" t="str">
        <f>IF(J64="Y",5800.19," ")</f>
        <v xml:space="preserve"> </v>
      </c>
      <c r="J64" s="45" t="s">
        <v>171</v>
      </c>
      <c r="K64" s="45">
        <f t="shared" si="20"/>
        <v>0</v>
      </c>
      <c r="L64" s="45">
        <f t="shared" si="21"/>
        <v>0</v>
      </c>
      <c r="M64" s="43">
        <f t="shared" si="22"/>
        <v>0</v>
      </c>
      <c r="N64" s="42" t="str">
        <f t="shared" si="3"/>
        <v/>
      </c>
    </row>
    <row r="65" spans="1:14" ht="13.2" hidden="1" x14ac:dyDescent="0.25">
      <c r="A65" s="76"/>
      <c r="B65" s="69" t="s">
        <v>284</v>
      </c>
      <c r="C65" s="70"/>
      <c r="D65" s="50"/>
      <c r="E65" s="119"/>
      <c r="F65" s="45">
        <f t="shared" si="18"/>
        <v>0</v>
      </c>
      <c r="G65" s="51" t="s">
        <v>173</v>
      </c>
      <c r="H65" s="45">
        <f t="shared" si="19"/>
        <v>0</v>
      </c>
      <c r="I65" s="45" t="str">
        <f>IF(J65="Y",5800.19," ")</f>
        <v xml:space="preserve"> </v>
      </c>
      <c r="J65" s="45" t="s">
        <v>171</v>
      </c>
      <c r="K65" s="45">
        <f t="shared" si="20"/>
        <v>0</v>
      </c>
      <c r="L65" s="45">
        <f t="shared" si="21"/>
        <v>0</v>
      </c>
      <c r="M65" s="43">
        <f t="shared" si="22"/>
        <v>0</v>
      </c>
      <c r="N65" s="42" t="str">
        <f t="shared" si="3"/>
        <v/>
      </c>
    </row>
    <row r="66" spans="1:14" ht="13.2" hidden="1" x14ac:dyDescent="0.25">
      <c r="A66" s="76"/>
      <c r="B66" s="69" t="s">
        <v>284</v>
      </c>
      <c r="C66" s="70"/>
      <c r="D66" s="50"/>
      <c r="E66" s="119"/>
      <c r="F66" s="45">
        <f t="shared" si="18"/>
        <v>0</v>
      </c>
      <c r="G66" s="51" t="s">
        <v>173</v>
      </c>
      <c r="H66" s="45">
        <f t="shared" si="19"/>
        <v>0</v>
      </c>
      <c r="I66" s="45" t="str">
        <f>IF(J66="Y",5800.19," ")</f>
        <v xml:space="preserve"> </v>
      </c>
      <c r="J66" s="45" t="s">
        <v>171</v>
      </c>
      <c r="K66" s="45">
        <f t="shared" si="20"/>
        <v>0</v>
      </c>
      <c r="L66" s="45">
        <f t="shared" si="21"/>
        <v>0</v>
      </c>
      <c r="M66" s="43">
        <f t="shared" si="22"/>
        <v>0</v>
      </c>
      <c r="N66" s="42" t="str">
        <f t="shared" si="3"/>
        <v/>
      </c>
    </row>
    <row r="67" spans="1:14" ht="13.2" hidden="1" x14ac:dyDescent="0.25">
      <c r="A67" s="76">
        <v>1</v>
      </c>
      <c r="B67" s="69" t="s">
        <v>284</v>
      </c>
      <c r="C67" s="70"/>
      <c r="D67" s="50"/>
      <c r="E67" s="119"/>
      <c r="F67" s="45">
        <f t="shared" si="18"/>
        <v>0</v>
      </c>
      <c r="G67" s="51" t="s">
        <v>173</v>
      </c>
      <c r="H67" s="45">
        <f t="shared" si="19"/>
        <v>0</v>
      </c>
      <c r="I67" s="45" t="str">
        <f>IF(J67="Y",5800.19," ")</f>
        <v xml:space="preserve"> </v>
      </c>
      <c r="J67" s="45" t="s">
        <v>171</v>
      </c>
      <c r="K67" s="45">
        <f t="shared" si="20"/>
        <v>0</v>
      </c>
      <c r="L67" s="45">
        <f>IF(E67&gt;7000,7000*$K$5,E67*$K$5)</f>
        <v>0</v>
      </c>
      <c r="M67" s="43">
        <f>SUM(H67:L67,E67:F67)</f>
        <v>0</v>
      </c>
      <c r="N67" s="42" t="str">
        <f t="shared" si="3"/>
        <v/>
      </c>
    </row>
    <row r="68" spans="1:14" ht="13.2" hidden="1" x14ac:dyDescent="0.25">
      <c r="A68" s="76">
        <v>1</v>
      </c>
      <c r="B68" s="69" t="s">
        <v>284</v>
      </c>
      <c r="C68" s="70"/>
      <c r="D68" s="50"/>
      <c r="E68" s="119"/>
      <c r="F68" s="45">
        <f t="shared" si="18"/>
        <v>0</v>
      </c>
      <c r="G68" s="51" t="s">
        <v>173</v>
      </c>
      <c r="H68" s="45">
        <f t="shared" si="19"/>
        <v>0</v>
      </c>
      <c r="I68" s="45" t="str">
        <f>IF(J68="Y",5800.19," ")</f>
        <v xml:space="preserve"> </v>
      </c>
      <c r="J68" s="45" t="s">
        <v>213</v>
      </c>
      <c r="K68" s="45">
        <f t="shared" si="20"/>
        <v>0</v>
      </c>
      <c r="L68" s="45">
        <f t="shared" si="21"/>
        <v>0</v>
      </c>
      <c r="M68" s="43">
        <f t="shared" si="22"/>
        <v>0</v>
      </c>
      <c r="N68" s="42" t="str">
        <f t="shared" si="3"/>
        <v/>
      </c>
    </row>
    <row r="69" spans="1:14" ht="13.2" hidden="1" x14ac:dyDescent="0.25">
      <c r="A69" s="76">
        <v>1</v>
      </c>
      <c r="B69" s="69" t="s">
        <v>284</v>
      </c>
      <c r="C69" s="70"/>
      <c r="D69" s="50"/>
      <c r="E69" s="119"/>
      <c r="F69" s="45">
        <f t="shared" si="18"/>
        <v>0</v>
      </c>
      <c r="G69" s="51" t="s">
        <v>173</v>
      </c>
      <c r="H69" s="45">
        <f t="shared" si="19"/>
        <v>0</v>
      </c>
      <c r="I69" s="45" t="str">
        <f>IF(J69="Y",5800.19," ")</f>
        <v xml:space="preserve"> </v>
      </c>
      <c r="J69" s="45" t="s">
        <v>171</v>
      </c>
      <c r="K69" s="45">
        <f t="shared" si="20"/>
        <v>0</v>
      </c>
      <c r="L69" s="45">
        <f>IF(E69&gt;7000,7000*$K$5,E69*$K$5)</f>
        <v>0</v>
      </c>
      <c r="M69" s="43">
        <f>SUM(H69:L69,E69:F69)</f>
        <v>0</v>
      </c>
      <c r="N69" s="42" t="str">
        <f t="shared" si="3"/>
        <v/>
      </c>
    </row>
    <row r="70" spans="1:14" ht="13.2" hidden="1" x14ac:dyDescent="0.25">
      <c r="A70" s="76">
        <v>2</v>
      </c>
      <c r="B70" s="69" t="s">
        <v>284</v>
      </c>
      <c r="C70" s="70"/>
      <c r="D70" s="50"/>
      <c r="E70" s="119"/>
      <c r="F70" s="45">
        <f t="shared" si="18"/>
        <v>0</v>
      </c>
      <c r="G70" s="51" t="s">
        <v>173</v>
      </c>
      <c r="H70" s="45">
        <f t="shared" si="19"/>
        <v>0</v>
      </c>
      <c r="I70" s="45" t="str">
        <f>IF(J70="Y",5800.19," ")</f>
        <v xml:space="preserve"> </v>
      </c>
      <c r="J70" s="45" t="s">
        <v>171</v>
      </c>
      <c r="K70" s="45">
        <f t="shared" si="20"/>
        <v>0</v>
      </c>
      <c r="L70" s="45">
        <f t="shared" si="21"/>
        <v>0</v>
      </c>
      <c r="M70" s="43">
        <f t="shared" si="22"/>
        <v>0</v>
      </c>
      <c r="N70" s="42" t="str">
        <f t="shared" si="3"/>
        <v/>
      </c>
    </row>
    <row r="71" spans="1:14" ht="13.2" hidden="1" x14ac:dyDescent="0.25">
      <c r="A71" s="76">
        <f>+A70</f>
        <v>2</v>
      </c>
      <c r="B71" s="69" t="s">
        <v>284</v>
      </c>
      <c r="C71" s="70"/>
      <c r="D71" s="50"/>
      <c r="E71" s="119"/>
      <c r="F71" s="45">
        <f t="shared" si="18"/>
        <v>0</v>
      </c>
      <c r="G71" s="51" t="s">
        <v>173</v>
      </c>
      <c r="H71" s="45">
        <f t="shared" si="19"/>
        <v>0</v>
      </c>
      <c r="I71" s="45" t="str">
        <f>IF(J71="Y",5800.19," ")</f>
        <v xml:space="preserve"> </v>
      </c>
      <c r="J71" s="45" t="s">
        <v>171</v>
      </c>
      <c r="K71" s="45">
        <f t="shared" si="20"/>
        <v>0</v>
      </c>
      <c r="L71" s="45">
        <f t="shared" si="21"/>
        <v>0</v>
      </c>
      <c r="M71" s="43">
        <f t="shared" si="22"/>
        <v>0</v>
      </c>
      <c r="N71" s="42" t="str">
        <f t="shared" si="3"/>
        <v/>
      </c>
    </row>
    <row r="72" spans="1:14" ht="13.2" hidden="1" x14ac:dyDescent="0.25">
      <c r="A72" s="76"/>
      <c r="B72" s="69" t="s">
        <v>284</v>
      </c>
      <c r="C72" s="70"/>
      <c r="D72" s="50"/>
      <c r="E72" s="119"/>
      <c r="F72" s="45">
        <f t="shared" si="18"/>
        <v>0</v>
      </c>
      <c r="G72" s="51" t="s">
        <v>173</v>
      </c>
      <c r="H72" s="45">
        <f t="shared" si="19"/>
        <v>0</v>
      </c>
      <c r="I72" s="45" t="str">
        <f>IF(J72="Y",5800.19," ")</f>
        <v xml:space="preserve"> </v>
      </c>
      <c r="J72" s="45" t="s">
        <v>171</v>
      </c>
      <c r="K72" s="45">
        <f t="shared" si="20"/>
        <v>0</v>
      </c>
      <c r="L72" s="45">
        <f>IF(E72&gt;7000,7000*$K$5,E72*$K$5)</f>
        <v>0</v>
      </c>
      <c r="M72" s="43">
        <f>SUM(H72:L72,E72:F72)</f>
        <v>0</v>
      </c>
      <c r="N72" s="42" t="str">
        <f t="shared" si="3"/>
        <v/>
      </c>
    </row>
    <row r="73" spans="1:14" ht="13.2" hidden="1" x14ac:dyDescent="0.25">
      <c r="A73" s="76">
        <v>1</v>
      </c>
      <c r="B73" s="69" t="s">
        <v>284</v>
      </c>
      <c r="C73" s="70"/>
      <c r="D73" s="50"/>
      <c r="E73" s="119"/>
      <c r="F73" s="45">
        <f t="shared" si="18"/>
        <v>0</v>
      </c>
      <c r="G73" s="51" t="s">
        <v>173</v>
      </c>
      <c r="H73" s="45">
        <f>+$E73*$H$5</f>
        <v>0</v>
      </c>
      <c r="I73" s="45" t="str">
        <f>IF(J73="Y",5800.19," ")</f>
        <v xml:space="preserve"> </v>
      </c>
      <c r="J73" s="45" t="s">
        <v>171</v>
      </c>
      <c r="K73" s="45">
        <f>+$E73*$I$5</f>
        <v>0</v>
      </c>
      <c r="L73" s="45">
        <f>IF(E73&gt;7000,7000*$K$5,E73*$K$5)</f>
        <v>0</v>
      </c>
      <c r="M73" s="43">
        <f>SUM(H73:L73,E73:F73)</f>
        <v>0</v>
      </c>
      <c r="N73" s="42" t="str">
        <f t="shared" si="3"/>
        <v/>
      </c>
    </row>
    <row r="74" spans="1:14" ht="15.9" customHeight="1" x14ac:dyDescent="0.25">
      <c r="A74" s="76">
        <v>4</v>
      </c>
      <c r="B74" s="97" t="s">
        <v>285</v>
      </c>
      <c r="C74" s="99" t="s">
        <v>3</v>
      </c>
      <c r="D74" s="54">
        <f>SUM(D54:D73)</f>
        <v>0</v>
      </c>
      <c r="E74" s="54">
        <f>SUM(E54:E73)</f>
        <v>113234.4</v>
      </c>
      <c r="F74" s="54">
        <f>SUM(F54:F73)</f>
        <v>8164.2002399999983</v>
      </c>
      <c r="G74" s="54">
        <f>SUM(G54:G73)</f>
        <v>0</v>
      </c>
      <c r="H74" s="54">
        <f>SUM(H54:H73)</f>
        <v>8662.4315999999981</v>
      </c>
      <c r="I74" s="54">
        <f>SUM(I54:I73)</f>
        <v>17400.57</v>
      </c>
      <c r="J74" s="54"/>
      <c r="K74" s="54">
        <f>SUM(K54:K73)</f>
        <v>566.17200000000003</v>
      </c>
      <c r="L74" s="54">
        <f>SUM(L54:L73)</f>
        <v>1960</v>
      </c>
      <c r="M74" s="54">
        <f>SUM(M54:M73)</f>
        <v>149987.77383999998</v>
      </c>
      <c r="N74" s="42" t="str">
        <f t="shared" si="3"/>
        <v>*</v>
      </c>
    </row>
    <row r="75" spans="1:14" ht="13.2" x14ac:dyDescent="0.25">
      <c r="A75" s="76">
        <f>+A74</f>
        <v>4</v>
      </c>
      <c r="B75" s="77"/>
      <c r="C75" s="78"/>
      <c r="D75" s="50"/>
      <c r="E75" s="44"/>
      <c r="F75" s="43"/>
      <c r="N75" s="42" t="str">
        <f>IF(N74="*","*","")</f>
        <v>*</v>
      </c>
    </row>
    <row r="76" spans="1:14" ht="15.9" hidden="1" customHeight="1" x14ac:dyDescent="0.25">
      <c r="A76" s="76"/>
      <c r="B76" s="69" t="s">
        <v>24</v>
      </c>
      <c r="C76" s="70"/>
      <c r="D76" s="50"/>
      <c r="E76" s="119"/>
      <c r="F76" s="45">
        <f t="shared" ref="F76:F91" si="23">IF(G76="Y",E76*$F$5," ")</f>
        <v>0</v>
      </c>
      <c r="G76" s="51" t="s">
        <v>173</v>
      </c>
      <c r="H76" s="45">
        <f t="shared" ref="H76:H91" si="24">+$E76*$H$5</f>
        <v>0</v>
      </c>
      <c r="I76" s="45" t="str">
        <f>IF(J76="Y",5800.19," ")</f>
        <v xml:space="preserve"> </v>
      </c>
      <c r="J76" s="45" t="s">
        <v>158</v>
      </c>
      <c r="K76" s="45">
        <f t="shared" ref="K76:K91" si="25">+$E76*$I$5</f>
        <v>0</v>
      </c>
      <c r="L76" s="45">
        <f t="shared" ref="L76:L91" si="26">IF(E76&gt;7000,7000*$K$5,E76*$K$5)</f>
        <v>0</v>
      </c>
      <c r="M76" s="43">
        <f t="shared" ref="M76:M91" si="27">SUM(H76:L76,E76:F76)</f>
        <v>0</v>
      </c>
      <c r="N76" s="42" t="str">
        <f t="shared" si="3"/>
        <v/>
      </c>
    </row>
    <row r="77" spans="1:14" ht="15.9" hidden="1" customHeight="1" x14ac:dyDescent="0.25">
      <c r="A77" s="76">
        <v>1</v>
      </c>
      <c r="B77" s="69" t="s">
        <v>24</v>
      </c>
      <c r="C77" s="70"/>
      <c r="D77" s="50"/>
      <c r="E77" s="119"/>
      <c r="F77" s="45">
        <f t="shared" si="23"/>
        <v>0</v>
      </c>
      <c r="G77" s="51" t="s">
        <v>173</v>
      </c>
      <c r="H77" s="45">
        <f t="shared" si="24"/>
        <v>0</v>
      </c>
      <c r="I77" s="45" t="str">
        <f>IF(J77="Y",5800.19," ")</f>
        <v xml:space="preserve"> </v>
      </c>
      <c r="J77" s="45" t="s">
        <v>171</v>
      </c>
      <c r="K77" s="45">
        <f t="shared" si="25"/>
        <v>0</v>
      </c>
      <c r="L77" s="45">
        <f t="shared" si="26"/>
        <v>0</v>
      </c>
      <c r="M77" s="43">
        <f t="shared" si="27"/>
        <v>0</v>
      </c>
      <c r="N77" s="42" t="str">
        <f t="shared" si="3"/>
        <v/>
      </c>
    </row>
    <row r="78" spans="1:14" ht="15.9" hidden="1" customHeight="1" x14ac:dyDescent="0.25">
      <c r="A78" s="76">
        <v>1</v>
      </c>
      <c r="B78" s="69" t="s">
        <v>24</v>
      </c>
      <c r="C78" s="70"/>
      <c r="D78" s="50"/>
      <c r="E78" s="119"/>
      <c r="F78" s="45">
        <f t="shared" si="23"/>
        <v>0</v>
      </c>
      <c r="G78" s="51" t="s">
        <v>173</v>
      </c>
      <c r="H78" s="45">
        <f t="shared" si="24"/>
        <v>0</v>
      </c>
      <c r="I78" s="45" t="str">
        <f>IF(J78="Y",5800.19," ")</f>
        <v xml:space="preserve"> </v>
      </c>
      <c r="J78" s="45" t="s">
        <v>171</v>
      </c>
      <c r="K78" s="45">
        <f t="shared" si="25"/>
        <v>0</v>
      </c>
      <c r="L78" s="45">
        <f t="shared" si="26"/>
        <v>0</v>
      </c>
      <c r="M78" s="43">
        <f t="shared" si="27"/>
        <v>0</v>
      </c>
      <c r="N78" s="42" t="str">
        <f t="shared" ref="N78" si="28">IF(M78&gt;0.49,"*","")</f>
        <v/>
      </c>
    </row>
    <row r="79" spans="1:14" ht="15.9" hidden="1" customHeight="1" x14ac:dyDescent="0.25">
      <c r="A79" s="76">
        <v>1</v>
      </c>
      <c r="B79" s="69" t="s">
        <v>24</v>
      </c>
      <c r="C79" s="70"/>
      <c r="D79" s="50"/>
      <c r="E79" s="119"/>
      <c r="F79" s="45">
        <f t="shared" si="23"/>
        <v>0</v>
      </c>
      <c r="G79" s="51" t="s">
        <v>173</v>
      </c>
      <c r="H79" s="45">
        <f t="shared" si="24"/>
        <v>0</v>
      </c>
      <c r="I79" s="45" t="str">
        <f>IF(J79="Y",5800.19," ")</f>
        <v xml:space="preserve"> </v>
      </c>
      <c r="J79" s="45" t="s">
        <v>171</v>
      </c>
      <c r="K79" s="45">
        <f t="shared" si="25"/>
        <v>0</v>
      </c>
      <c r="L79" s="45">
        <f t="shared" si="26"/>
        <v>0</v>
      </c>
      <c r="M79" s="43">
        <f t="shared" si="27"/>
        <v>0</v>
      </c>
      <c r="N79" s="42" t="str">
        <f t="shared" ref="N79:N81" si="29">IF(M79&gt;0.49,"*","")</f>
        <v/>
      </c>
    </row>
    <row r="80" spans="1:14" ht="15.9" hidden="1" customHeight="1" x14ac:dyDescent="0.25">
      <c r="A80" s="76">
        <v>1</v>
      </c>
      <c r="B80" s="69" t="s">
        <v>24</v>
      </c>
      <c r="C80" s="70"/>
      <c r="D80" s="50"/>
      <c r="E80" s="119"/>
      <c r="F80" s="45">
        <f t="shared" si="23"/>
        <v>0</v>
      </c>
      <c r="G80" s="51" t="s">
        <v>173</v>
      </c>
      <c r="H80" s="45">
        <f t="shared" si="24"/>
        <v>0</v>
      </c>
      <c r="I80" s="45" t="str">
        <f>IF(J80="Y",5800.19," ")</f>
        <v xml:space="preserve"> </v>
      </c>
      <c r="J80" s="45" t="s">
        <v>171</v>
      </c>
      <c r="K80" s="45">
        <f t="shared" si="25"/>
        <v>0</v>
      </c>
      <c r="L80" s="45">
        <f t="shared" si="26"/>
        <v>0</v>
      </c>
      <c r="M80" s="43">
        <f t="shared" si="27"/>
        <v>0</v>
      </c>
      <c r="N80" s="42" t="str">
        <f t="shared" si="29"/>
        <v/>
      </c>
    </row>
    <row r="81" spans="1:14" ht="15.9" hidden="1" customHeight="1" x14ac:dyDescent="0.25">
      <c r="A81" s="76">
        <v>1</v>
      </c>
      <c r="B81" s="69" t="s">
        <v>24</v>
      </c>
      <c r="C81" s="70"/>
      <c r="D81" s="50"/>
      <c r="E81" s="119"/>
      <c r="F81" s="45">
        <f t="shared" si="23"/>
        <v>0</v>
      </c>
      <c r="G81" s="51" t="s">
        <v>173</v>
      </c>
      <c r="H81" s="45">
        <f t="shared" si="24"/>
        <v>0</v>
      </c>
      <c r="I81" s="45" t="str">
        <f>IF(J81="Y",5800.19," ")</f>
        <v xml:space="preserve"> </v>
      </c>
      <c r="J81" s="45" t="s">
        <v>171</v>
      </c>
      <c r="K81" s="45">
        <f t="shared" si="25"/>
        <v>0</v>
      </c>
      <c r="L81" s="45">
        <f t="shared" si="26"/>
        <v>0</v>
      </c>
      <c r="M81" s="43">
        <f t="shared" si="27"/>
        <v>0</v>
      </c>
      <c r="N81" s="42" t="str">
        <f t="shared" si="29"/>
        <v/>
      </c>
    </row>
    <row r="82" spans="1:14" ht="15.9" hidden="1" customHeight="1" x14ac:dyDescent="0.25">
      <c r="A82" s="76">
        <v>1</v>
      </c>
      <c r="B82" s="69" t="s">
        <v>24</v>
      </c>
      <c r="C82" s="70"/>
      <c r="D82" s="50"/>
      <c r="E82" s="119"/>
      <c r="F82" s="45">
        <f t="shared" si="23"/>
        <v>0</v>
      </c>
      <c r="G82" s="51" t="s">
        <v>173</v>
      </c>
      <c r="H82" s="45">
        <f t="shared" si="24"/>
        <v>0</v>
      </c>
      <c r="I82" s="45" t="str">
        <f>IF(J82="Y",5800.19," ")</f>
        <v xml:space="preserve"> </v>
      </c>
      <c r="J82" s="45" t="s">
        <v>171</v>
      </c>
      <c r="K82" s="45">
        <f t="shared" si="25"/>
        <v>0</v>
      </c>
      <c r="L82" s="45">
        <f t="shared" si="26"/>
        <v>0</v>
      </c>
      <c r="M82" s="43">
        <f t="shared" si="27"/>
        <v>0</v>
      </c>
      <c r="N82" s="42" t="str">
        <f t="shared" ref="N82" si="30">IF(M82&gt;0.49,"*","")</f>
        <v/>
      </c>
    </row>
    <row r="83" spans="1:14" ht="15.9" hidden="1" customHeight="1" x14ac:dyDescent="0.25">
      <c r="A83" s="76">
        <v>1</v>
      </c>
      <c r="B83" s="69" t="s">
        <v>24</v>
      </c>
      <c r="C83" s="70"/>
      <c r="D83" s="50"/>
      <c r="E83" s="119"/>
      <c r="F83" s="45">
        <f t="shared" si="23"/>
        <v>0</v>
      </c>
      <c r="G83" s="51" t="s">
        <v>173</v>
      </c>
      <c r="H83" s="45">
        <f t="shared" si="24"/>
        <v>0</v>
      </c>
      <c r="I83" s="45" t="str">
        <f>IF(J83="Y",5800.19," ")</f>
        <v xml:space="preserve"> </v>
      </c>
      <c r="J83" s="45" t="s">
        <v>171</v>
      </c>
      <c r="K83" s="45">
        <f t="shared" si="25"/>
        <v>0</v>
      </c>
      <c r="L83" s="45">
        <f t="shared" si="26"/>
        <v>0</v>
      </c>
      <c r="M83" s="43">
        <f t="shared" si="27"/>
        <v>0</v>
      </c>
      <c r="N83" s="42" t="str">
        <f t="shared" si="3"/>
        <v/>
      </c>
    </row>
    <row r="84" spans="1:14" ht="15.9" hidden="1" customHeight="1" x14ac:dyDescent="0.25">
      <c r="A84" s="76">
        <v>1</v>
      </c>
      <c r="B84" s="69" t="s">
        <v>24</v>
      </c>
      <c r="C84" s="70"/>
      <c r="D84" s="50"/>
      <c r="E84" s="119"/>
      <c r="F84" s="45">
        <f t="shared" si="23"/>
        <v>0</v>
      </c>
      <c r="G84" s="51" t="s">
        <v>173</v>
      </c>
      <c r="H84" s="45">
        <f t="shared" si="24"/>
        <v>0</v>
      </c>
      <c r="I84" s="45" t="str">
        <f>IF(J84="Y",5800.19," ")</f>
        <v xml:space="preserve"> </v>
      </c>
      <c r="J84" s="45" t="s">
        <v>171</v>
      </c>
      <c r="K84" s="45">
        <f t="shared" si="25"/>
        <v>0</v>
      </c>
      <c r="L84" s="45">
        <f t="shared" si="26"/>
        <v>0</v>
      </c>
      <c r="M84" s="43">
        <f t="shared" si="27"/>
        <v>0</v>
      </c>
      <c r="N84" s="42" t="str">
        <f t="shared" ref="N84:N90" si="31">IF(M84&gt;0.49,"*","")</f>
        <v/>
      </c>
    </row>
    <row r="85" spans="1:14" ht="15.9" hidden="1" customHeight="1" x14ac:dyDescent="0.25">
      <c r="A85" s="76">
        <v>1</v>
      </c>
      <c r="B85" s="69" t="s">
        <v>24</v>
      </c>
      <c r="C85" s="70"/>
      <c r="D85" s="50"/>
      <c r="E85" s="119"/>
      <c r="F85" s="45">
        <f t="shared" si="23"/>
        <v>0</v>
      </c>
      <c r="G85" s="51" t="s">
        <v>173</v>
      </c>
      <c r="H85" s="45">
        <f t="shared" si="24"/>
        <v>0</v>
      </c>
      <c r="I85" s="45" t="str">
        <f>IF(J85="Y",5800.19," ")</f>
        <v xml:space="preserve"> </v>
      </c>
      <c r="J85" s="45" t="s">
        <v>171</v>
      </c>
      <c r="K85" s="45">
        <f t="shared" si="25"/>
        <v>0</v>
      </c>
      <c r="L85" s="45">
        <f t="shared" si="26"/>
        <v>0</v>
      </c>
      <c r="M85" s="43">
        <f t="shared" si="27"/>
        <v>0</v>
      </c>
      <c r="N85" s="42" t="str">
        <f t="shared" si="31"/>
        <v/>
      </c>
    </row>
    <row r="86" spans="1:14" ht="15.9" hidden="1" customHeight="1" x14ac:dyDescent="0.25">
      <c r="A86" s="76">
        <v>1</v>
      </c>
      <c r="B86" s="69" t="s">
        <v>24</v>
      </c>
      <c r="C86" s="70"/>
      <c r="D86" s="50"/>
      <c r="E86" s="119"/>
      <c r="F86" s="45">
        <f t="shared" si="23"/>
        <v>0</v>
      </c>
      <c r="G86" s="51" t="s">
        <v>173</v>
      </c>
      <c r="H86" s="45">
        <f t="shared" si="24"/>
        <v>0</v>
      </c>
      <c r="I86" s="45" t="str">
        <f>IF(J86="Y",5800.19," ")</f>
        <v xml:space="preserve"> </v>
      </c>
      <c r="J86" s="45" t="s">
        <v>171</v>
      </c>
      <c r="K86" s="45">
        <f t="shared" si="25"/>
        <v>0</v>
      </c>
      <c r="L86" s="45">
        <f t="shared" si="26"/>
        <v>0</v>
      </c>
      <c r="M86" s="43">
        <f t="shared" si="27"/>
        <v>0</v>
      </c>
      <c r="N86" s="42" t="str">
        <f t="shared" si="31"/>
        <v/>
      </c>
    </row>
    <row r="87" spans="1:14" ht="15.9" hidden="1" customHeight="1" x14ac:dyDescent="0.25">
      <c r="A87" s="76">
        <v>1</v>
      </c>
      <c r="B87" s="69" t="s">
        <v>24</v>
      </c>
      <c r="C87" s="70"/>
      <c r="D87" s="50"/>
      <c r="E87" s="119"/>
      <c r="F87" s="45">
        <f t="shared" si="23"/>
        <v>0</v>
      </c>
      <c r="G87" s="51" t="s">
        <v>173</v>
      </c>
      <c r="H87" s="45">
        <f t="shared" si="24"/>
        <v>0</v>
      </c>
      <c r="I87" s="45" t="str">
        <f>IF(J87="Y",5800.19," ")</f>
        <v xml:space="preserve"> </v>
      </c>
      <c r="J87" s="45" t="s">
        <v>171</v>
      </c>
      <c r="K87" s="45">
        <f t="shared" si="25"/>
        <v>0</v>
      </c>
      <c r="L87" s="45">
        <f t="shared" si="26"/>
        <v>0</v>
      </c>
      <c r="M87" s="43">
        <f t="shared" si="27"/>
        <v>0</v>
      </c>
      <c r="N87" s="42" t="str">
        <f t="shared" si="31"/>
        <v/>
      </c>
    </row>
    <row r="88" spans="1:14" ht="15.9" hidden="1" customHeight="1" x14ac:dyDescent="0.25">
      <c r="A88" s="76">
        <v>1</v>
      </c>
      <c r="B88" s="69" t="s">
        <v>24</v>
      </c>
      <c r="C88" s="70"/>
      <c r="D88" s="50"/>
      <c r="E88" s="119"/>
      <c r="F88" s="45">
        <f t="shared" si="23"/>
        <v>0</v>
      </c>
      <c r="G88" s="51" t="s">
        <v>173</v>
      </c>
      <c r="H88" s="45">
        <f t="shared" si="24"/>
        <v>0</v>
      </c>
      <c r="I88" s="45" t="str">
        <f>IF(J88="Y",5800.19," ")</f>
        <v xml:space="preserve"> </v>
      </c>
      <c r="J88" s="45" t="s">
        <v>171</v>
      </c>
      <c r="K88" s="45">
        <f t="shared" si="25"/>
        <v>0</v>
      </c>
      <c r="L88" s="45">
        <f t="shared" si="26"/>
        <v>0</v>
      </c>
      <c r="M88" s="43">
        <f t="shared" si="27"/>
        <v>0</v>
      </c>
      <c r="N88" s="42" t="str">
        <f t="shared" si="31"/>
        <v/>
      </c>
    </row>
    <row r="89" spans="1:14" ht="15.9" hidden="1" customHeight="1" x14ac:dyDescent="0.25">
      <c r="A89" s="76">
        <v>1</v>
      </c>
      <c r="B89" s="69" t="s">
        <v>24</v>
      </c>
      <c r="C89" s="70"/>
      <c r="D89" s="50"/>
      <c r="E89" s="119"/>
      <c r="F89" s="45">
        <f t="shared" si="23"/>
        <v>0</v>
      </c>
      <c r="G89" s="51" t="s">
        <v>173</v>
      </c>
      <c r="H89" s="45">
        <f t="shared" si="24"/>
        <v>0</v>
      </c>
      <c r="I89" s="45" t="str">
        <f>IF(J89="Y",5800.19," ")</f>
        <v xml:space="preserve"> </v>
      </c>
      <c r="J89" s="45" t="s">
        <v>171</v>
      </c>
      <c r="K89" s="45">
        <f t="shared" si="25"/>
        <v>0</v>
      </c>
      <c r="L89" s="45">
        <f t="shared" si="26"/>
        <v>0</v>
      </c>
      <c r="M89" s="43">
        <f t="shared" si="27"/>
        <v>0</v>
      </c>
      <c r="N89" s="42" t="str">
        <f t="shared" si="31"/>
        <v/>
      </c>
    </row>
    <row r="90" spans="1:14" ht="15.9" hidden="1" customHeight="1" x14ac:dyDescent="0.25">
      <c r="A90" s="76">
        <v>1</v>
      </c>
      <c r="B90" s="69" t="s">
        <v>24</v>
      </c>
      <c r="C90" s="70"/>
      <c r="D90" s="50"/>
      <c r="E90" s="119"/>
      <c r="F90" s="45">
        <f t="shared" si="23"/>
        <v>0</v>
      </c>
      <c r="G90" s="51" t="s">
        <v>173</v>
      </c>
      <c r="H90" s="45">
        <f t="shared" si="24"/>
        <v>0</v>
      </c>
      <c r="I90" s="45" t="str">
        <f>IF(J90="Y",5800.19," ")</f>
        <v xml:space="preserve"> </v>
      </c>
      <c r="J90" s="45" t="s">
        <v>171</v>
      </c>
      <c r="K90" s="45">
        <f t="shared" si="25"/>
        <v>0</v>
      </c>
      <c r="L90" s="45">
        <f t="shared" si="26"/>
        <v>0</v>
      </c>
      <c r="M90" s="43">
        <f t="shared" si="27"/>
        <v>0</v>
      </c>
      <c r="N90" s="42" t="str">
        <f t="shared" si="31"/>
        <v/>
      </c>
    </row>
    <row r="91" spans="1:14" ht="15.9" hidden="1" customHeight="1" x14ac:dyDescent="0.25">
      <c r="A91" s="76">
        <f>+A83</f>
        <v>1</v>
      </c>
      <c r="B91" s="69" t="s">
        <v>24</v>
      </c>
      <c r="C91" s="70"/>
      <c r="D91" s="50"/>
      <c r="E91" s="119"/>
      <c r="F91" s="45">
        <f t="shared" si="23"/>
        <v>0</v>
      </c>
      <c r="G91" s="51" t="s">
        <v>173</v>
      </c>
      <c r="H91" s="45">
        <f t="shared" si="24"/>
        <v>0</v>
      </c>
      <c r="I91" s="45" t="str">
        <f>IF(J91="Y",5800.19," ")</f>
        <v xml:space="preserve"> </v>
      </c>
      <c r="J91" s="45" t="s">
        <v>171</v>
      </c>
      <c r="K91" s="45">
        <f t="shared" si="25"/>
        <v>0</v>
      </c>
      <c r="L91" s="45">
        <f t="shared" si="26"/>
        <v>0</v>
      </c>
      <c r="M91" s="43">
        <f t="shared" si="27"/>
        <v>0</v>
      </c>
      <c r="N91" s="42" t="str">
        <f t="shared" si="3"/>
        <v/>
      </c>
    </row>
    <row r="92" spans="1:14" ht="12.75" hidden="1" customHeight="1" x14ac:dyDescent="0.25">
      <c r="A92" s="51">
        <f>SUM(A91:A91,A75:A75,A71:A71,A62,A59:A59,A55,A51:A51,A48:A48,A38:A38,A27)</f>
        <v>96</v>
      </c>
      <c r="B92" s="72" t="s">
        <v>4</v>
      </c>
      <c r="C92" s="99" t="s">
        <v>5</v>
      </c>
      <c r="D92" s="50"/>
      <c r="E92" s="54">
        <f>SUM(E76:E91)</f>
        <v>0</v>
      </c>
      <c r="F92" s="54">
        <f t="shared" ref="F92:M92" si="32">SUM(F76:F91)</f>
        <v>0</v>
      </c>
      <c r="G92" s="54"/>
      <c r="H92" s="54">
        <f t="shared" si="32"/>
        <v>0</v>
      </c>
      <c r="I92" s="54">
        <f t="shared" si="32"/>
        <v>0</v>
      </c>
      <c r="J92" s="54"/>
      <c r="K92" s="54">
        <f t="shared" si="32"/>
        <v>0</v>
      </c>
      <c r="L92" s="54">
        <f t="shared" si="32"/>
        <v>0</v>
      </c>
      <c r="M92" s="54">
        <f t="shared" si="32"/>
        <v>0</v>
      </c>
      <c r="N92" s="42" t="str">
        <f t="shared" si="3"/>
        <v/>
      </c>
    </row>
    <row r="93" spans="1:14" ht="12.75" hidden="1" customHeight="1" x14ac:dyDescent="0.25">
      <c r="B93" s="127"/>
      <c r="C93" s="78"/>
      <c r="D93" s="50"/>
      <c r="E93" s="44"/>
      <c r="F93" s="43"/>
      <c r="N93" s="42" t="str">
        <f>IF(N92="*","*","")</f>
        <v/>
      </c>
    </row>
    <row r="94" spans="1:14" ht="13.2" hidden="1" x14ac:dyDescent="0.25">
      <c r="B94" s="70" t="s">
        <v>22</v>
      </c>
      <c r="C94" s="78"/>
      <c r="D94" s="50"/>
      <c r="E94" s="119"/>
      <c r="F94" s="45"/>
      <c r="G94" s="51" t="s">
        <v>173</v>
      </c>
      <c r="H94" s="45"/>
      <c r="I94" s="45" t="str">
        <f>IF(J94="Y",5800.19," ")</f>
        <v xml:space="preserve"> </v>
      </c>
      <c r="J94" s="45" t="s">
        <v>171</v>
      </c>
      <c r="K94" s="45"/>
      <c r="L94" s="45"/>
      <c r="M94" s="43"/>
      <c r="N94" s="42" t="str">
        <f t="shared" ref="N94:N99" si="33">IF(M94&gt;0.49,"*","")</f>
        <v/>
      </c>
    </row>
    <row r="95" spans="1:14" ht="13.2" x14ac:dyDescent="0.25">
      <c r="B95" s="70" t="s">
        <v>22</v>
      </c>
      <c r="C95" s="78" t="s">
        <v>494</v>
      </c>
      <c r="D95" s="50"/>
      <c r="E95" s="119">
        <f>10*8*180</f>
        <v>14400</v>
      </c>
      <c r="F95" s="45">
        <f t="shared" ref="F95:F100" si="34">IF(G95="Y",E95*$F$5," ")</f>
        <v>1038.24</v>
      </c>
      <c r="G95" s="51" t="s">
        <v>173</v>
      </c>
      <c r="H95" s="45">
        <f t="shared" ref="H95:H100" si="35">+$E95*$H$5</f>
        <v>1101.5999999999999</v>
      </c>
      <c r="I95" s="45">
        <f>IF(J95="Y",5800.19," ")</f>
        <v>5800.19</v>
      </c>
      <c r="J95" s="45" t="s">
        <v>173</v>
      </c>
      <c r="K95" s="45">
        <f t="shared" ref="K95:K100" si="36">+$E95*$I$5</f>
        <v>72</v>
      </c>
      <c r="L95" s="45">
        <f t="shared" ref="L95:L100" si="37">IF(E95&gt;7000,7000*$K$5,E95*$K$5)</f>
        <v>280</v>
      </c>
      <c r="M95" s="43">
        <f t="shared" ref="M95:M100" si="38">SUM(H95:L95,E95:F95)</f>
        <v>22692.030000000002</v>
      </c>
      <c r="N95" s="42" t="str">
        <f t="shared" ref="N95:N98" si="39">IF(M95&gt;0.49,"*","")</f>
        <v>*</v>
      </c>
    </row>
    <row r="96" spans="1:14" ht="13.2" x14ac:dyDescent="0.25">
      <c r="B96" s="70" t="s">
        <v>22</v>
      </c>
      <c r="C96" s="78" t="s">
        <v>495</v>
      </c>
      <c r="D96" s="50"/>
      <c r="E96" s="119">
        <f>10*8*180</f>
        <v>14400</v>
      </c>
      <c r="F96" s="45">
        <f t="shared" ref="F96" si="40">IF(G96="Y",E96*$F$5," ")</f>
        <v>1038.24</v>
      </c>
      <c r="G96" s="51" t="s">
        <v>173</v>
      </c>
      <c r="H96" s="45">
        <f t="shared" si="35"/>
        <v>1101.5999999999999</v>
      </c>
      <c r="I96" s="45">
        <f>IF(J96="Y",5800.19," ")</f>
        <v>5800.19</v>
      </c>
      <c r="J96" s="45" t="s">
        <v>173</v>
      </c>
      <c r="K96" s="45">
        <f t="shared" si="36"/>
        <v>72</v>
      </c>
      <c r="L96" s="45">
        <f t="shared" ref="L96" si="41">IF(E96&gt;7000,7000*$K$5,E96*$K$5)</f>
        <v>280</v>
      </c>
      <c r="M96" s="43">
        <f t="shared" ref="M96" si="42">SUM(H96:L96,E96:F96)</f>
        <v>22692.030000000002</v>
      </c>
      <c r="N96" s="42" t="str">
        <f t="shared" si="39"/>
        <v>*</v>
      </c>
    </row>
    <row r="97" spans="2:14" ht="13.2" x14ac:dyDescent="0.25">
      <c r="B97" s="70" t="s">
        <v>22</v>
      </c>
      <c r="C97" s="78" t="s">
        <v>496</v>
      </c>
      <c r="D97" s="50"/>
      <c r="E97" s="119">
        <f>11.28*8*180</f>
        <v>16243.199999999999</v>
      </c>
      <c r="F97" s="45">
        <f t="shared" si="34"/>
        <v>1171.1347199999998</v>
      </c>
      <c r="G97" s="51" t="s">
        <v>173</v>
      </c>
      <c r="H97" s="45">
        <f t="shared" si="35"/>
        <v>1242.6047999999998</v>
      </c>
      <c r="I97" s="45" t="str">
        <f>IF(J97="Y",5800.19," ")</f>
        <v xml:space="preserve"> </v>
      </c>
      <c r="J97" s="45" t="s">
        <v>171</v>
      </c>
      <c r="K97" s="45">
        <f t="shared" si="36"/>
        <v>81.215999999999994</v>
      </c>
      <c r="L97" s="45">
        <f t="shared" si="37"/>
        <v>280</v>
      </c>
      <c r="M97" s="43">
        <f t="shared" si="38"/>
        <v>19018.155519999997</v>
      </c>
      <c r="N97" s="42" t="str">
        <f t="shared" ref="N97" si="43">IF(M97&gt;0.49,"*","")</f>
        <v>*</v>
      </c>
    </row>
    <row r="98" spans="2:14" ht="13.2" x14ac:dyDescent="0.25">
      <c r="B98" s="70" t="s">
        <v>22</v>
      </c>
      <c r="C98" s="101" t="s">
        <v>497</v>
      </c>
      <c r="D98" s="50"/>
      <c r="E98" s="119">
        <f>10*8*180</f>
        <v>14400</v>
      </c>
      <c r="F98" s="45">
        <f t="shared" si="34"/>
        <v>1038.24</v>
      </c>
      <c r="G98" s="51" t="s">
        <v>173</v>
      </c>
      <c r="H98" s="45">
        <f t="shared" si="35"/>
        <v>1101.5999999999999</v>
      </c>
      <c r="I98" s="45">
        <f>IF(J98="Y",5800.19," ")</f>
        <v>5800.19</v>
      </c>
      <c r="J98" s="45" t="s">
        <v>173</v>
      </c>
      <c r="K98" s="45">
        <f t="shared" si="36"/>
        <v>72</v>
      </c>
      <c r="L98" s="45">
        <f t="shared" si="37"/>
        <v>280</v>
      </c>
      <c r="M98" s="43">
        <f t="shared" si="38"/>
        <v>22692.030000000002</v>
      </c>
      <c r="N98" s="42" t="str">
        <f t="shared" si="39"/>
        <v>*</v>
      </c>
    </row>
    <row r="99" spans="2:14" ht="13.2" hidden="1" x14ac:dyDescent="0.25">
      <c r="B99" s="70" t="s">
        <v>22</v>
      </c>
      <c r="C99" s="78"/>
      <c r="D99" s="50"/>
      <c r="E99" s="119">
        <f>D99*PRInf</f>
        <v>0</v>
      </c>
      <c r="F99" s="45">
        <f t="shared" si="34"/>
        <v>0</v>
      </c>
      <c r="G99" s="51" t="s">
        <v>173</v>
      </c>
      <c r="H99" s="45">
        <f t="shared" si="35"/>
        <v>0</v>
      </c>
      <c r="I99" s="45" t="str">
        <f>IF(J99="Y",5800.19," ")</f>
        <v xml:space="preserve"> </v>
      </c>
      <c r="J99" s="45" t="s">
        <v>171</v>
      </c>
      <c r="K99" s="45">
        <f t="shared" si="36"/>
        <v>0</v>
      </c>
      <c r="L99" s="45">
        <f t="shared" si="37"/>
        <v>0</v>
      </c>
      <c r="M99" s="43">
        <f t="shared" si="38"/>
        <v>0</v>
      </c>
      <c r="N99" s="42" t="str">
        <f t="shared" si="33"/>
        <v/>
      </c>
    </row>
    <row r="100" spans="2:14" ht="13.2" hidden="1" x14ac:dyDescent="0.25">
      <c r="B100" s="70" t="s">
        <v>22</v>
      </c>
      <c r="C100" s="70"/>
      <c r="D100" s="50"/>
      <c r="E100" s="119"/>
      <c r="F100" s="45">
        <f t="shared" si="34"/>
        <v>0</v>
      </c>
      <c r="G100" s="51" t="s">
        <v>173</v>
      </c>
      <c r="H100" s="45">
        <f t="shared" si="35"/>
        <v>0</v>
      </c>
      <c r="I100" s="45" t="str">
        <f>IF(J100="Y",5800.19," ")</f>
        <v xml:space="preserve"> </v>
      </c>
      <c r="J100" s="45" t="s">
        <v>171</v>
      </c>
      <c r="K100" s="45">
        <f t="shared" si="36"/>
        <v>0</v>
      </c>
      <c r="L100" s="45">
        <f t="shared" si="37"/>
        <v>0</v>
      </c>
      <c r="M100" s="43">
        <f t="shared" si="38"/>
        <v>0</v>
      </c>
      <c r="N100" s="42" t="str">
        <f t="shared" si="3"/>
        <v/>
      </c>
    </row>
    <row r="101" spans="2:14" ht="12.75" customHeight="1" x14ac:dyDescent="0.25">
      <c r="B101" s="72" t="s">
        <v>6</v>
      </c>
      <c r="C101" s="99" t="s">
        <v>7</v>
      </c>
      <c r="D101" s="54">
        <f>SUM(D95:D100)</f>
        <v>0</v>
      </c>
      <c r="E101" s="54">
        <f>SUM(E95:E100)</f>
        <v>59443.199999999997</v>
      </c>
      <c r="F101" s="54">
        <f t="shared" ref="F101:M101" si="44">SUM(F94:F100)</f>
        <v>4285.8547199999994</v>
      </c>
      <c r="G101" s="54">
        <f t="shared" si="44"/>
        <v>0</v>
      </c>
      <c r="H101" s="54">
        <f t="shared" si="44"/>
        <v>4547.4048000000003</v>
      </c>
      <c r="I101" s="54">
        <f t="shared" si="44"/>
        <v>17400.57</v>
      </c>
      <c r="J101" s="54"/>
      <c r="K101" s="54">
        <f t="shared" si="44"/>
        <v>297.21600000000001</v>
      </c>
      <c r="L101" s="54">
        <f t="shared" si="44"/>
        <v>1120</v>
      </c>
      <c r="M101" s="54">
        <f t="shared" si="44"/>
        <v>87094.245519999997</v>
      </c>
      <c r="N101" s="42" t="str">
        <f t="shared" si="3"/>
        <v>*</v>
      </c>
    </row>
    <row r="102" spans="2:14" ht="13.2" x14ac:dyDescent="0.25">
      <c r="B102" s="77"/>
      <c r="C102" s="78"/>
      <c r="D102" s="50"/>
      <c r="E102" s="44"/>
      <c r="F102" s="43"/>
      <c r="N102" s="42" t="str">
        <f>IF(N101="*","*","")</f>
        <v>*</v>
      </c>
    </row>
    <row r="103" spans="2:14" ht="12.75" hidden="1" customHeight="1" x14ac:dyDescent="0.25">
      <c r="B103" s="69" t="s">
        <v>224</v>
      </c>
      <c r="C103" s="78"/>
      <c r="D103" s="50"/>
      <c r="E103" s="119"/>
      <c r="F103" s="45">
        <f>IF(G103="Y",E103*$F$5," ")</f>
        <v>0</v>
      </c>
      <c r="G103" s="51" t="s">
        <v>173</v>
      </c>
      <c r="H103" s="45">
        <f>+$E103*$H$5</f>
        <v>0</v>
      </c>
      <c r="I103" s="45" t="str">
        <f>IF(J103="Y",5800.19," ")</f>
        <v xml:space="preserve"> </v>
      </c>
      <c r="J103" s="45" t="s">
        <v>171</v>
      </c>
      <c r="K103" s="45">
        <f>+$E103*$I$5</f>
        <v>0</v>
      </c>
      <c r="L103" s="45">
        <f>IF(E103&gt;7000,7000*$K$5,E103*$K$5)</f>
        <v>0</v>
      </c>
      <c r="M103" s="43">
        <f>SUM(H103:L103,E103:F103)</f>
        <v>0</v>
      </c>
      <c r="N103" s="42" t="str">
        <f>IF(M103&gt;0.49,"*","")</f>
        <v/>
      </c>
    </row>
    <row r="104" spans="2:14" ht="14.25" hidden="1" customHeight="1" x14ac:dyDescent="0.25">
      <c r="B104" s="69" t="s">
        <v>224</v>
      </c>
      <c r="D104" s="50"/>
      <c r="E104" s="119"/>
      <c r="F104" s="45">
        <f t="shared" ref="F104" si="45">IF(G104="Y",E104*$F$5," ")</f>
        <v>0</v>
      </c>
      <c r="G104" s="51" t="s">
        <v>173</v>
      </c>
      <c r="H104" s="45">
        <f>+$E104*$H$5</f>
        <v>0</v>
      </c>
      <c r="I104" s="45" t="str">
        <f>IF(J104="Y",5800.19," ")</f>
        <v xml:space="preserve"> </v>
      </c>
      <c r="J104" s="45" t="s">
        <v>171</v>
      </c>
      <c r="K104" s="45">
        <f>+$E104*$I$5</f>
        <v>0</v>
      </c>
      <c r="L104" s="45">
        <f>IF(E104&gt;7000,7000*$K$5,E104*$K$5)</f>
        <v>0</v>
      </c>
      <c r="M104" s="43">
        <f>SUM(H104:L104,E104:F104)</f>
        <v>0</v>
      </c>
      <c r="N104" s="42" t="str">
        <f>IF(M104&gt;0.49,"*","")</f>
        <v/>
      </c>
    </row>
    <row r="105" spans="2:14" ht="12.75" hidden="1" customHeight="1" x14ac:dyDescent="0.25">
      <c r="B105" s="97" t="s">
        <v>225</v>
      </c>
      <c r="C105" s="99" t="s">
        <v>228</v>
      </c>
      <c r="D105" s="50"/>
      <c r="E105" s="54">
        <f>SUM(E103:E104)</f>
        <v>0</v>
      </c>
      <c r="F105" s="53">
        <f>SUM(F103:F104)</f>
        <v>0</v>
      </c>
      <c r="H105" s="53">
        <f>SUM(H103:H104)</f>
        <v>0</v>
      </c>
      <c r="I105" s="53">
        <f>SUM(I103:I104)</f>
        <v>0</v>
      </c>
      <c r="J105" s="53"/>
      <c r="K105" s="53">
        <f>SUM(K103:K104)</f>
        <v>0</v>
      </c>
      <c r="L105" s="53">
        <f>SUM(L103:L104)</f>
        <v>0</v>
      </c>
      <c r="M105" s="53">
        <f>SUM(M103:M104)</f>
        <v>0</v>
      </c>
      <c r="N105" s="42" t="str">
        <f>IF(M105&gt;0.49,"*","")</f>
        <v/>
      </c>
    </row>
    <row r="106" spans="2:14" ht="12.75" hidden="1" customHeight="1" x14ac:dyDescent="0.25">
      <c r="B106" s="77"/>
      <c r="C106" s="78"/>
      <c r="D106" s="50"/>
      <c r="E106" s="44"/>
      <c r="F106" s="43"/>
      <c r="N106" s="42" t="str">
        <f>IF(N105="*","*","")</f>
        <v/>
      </c>
    </row>
    <row r="107" spans="2:14" ht="12.75" hidden="1" customHeight="1" x14ac:dyDescent="0.25">
      <c r="B107" s="69" t="s">
        <v>26</v>
      </c>
      <c r="D107" s="50"/>
      <c r="E107" s="119">
        <f>24*PRInf*D107</f>
        <v>0</v>
      </c>
      <c r="F107" s="45">
        <f t="shared" ref="F107:F108" si="46">IF(G107="Y",E107*$F$5," ")</f>
        <v>0</v>
      </c>
      <c r="G107" s="51" t="s">
        <v>173</v>
      </c>
      <c r="H107" s="45">
        <f>+$E107*$H$5</f>
        <v>0</v>
      </c>
      <c r="I107" s="45" t="str">
        <f>IF(J107="Y",5800.19," ")</f>
        <v xml:space="preserve"> </v>
      </c>
      <c r="J107" s="45" t="s">
        <v>171</v>
      </c>
      <c r="K107" s="45">
        <f>+$E107*$I$5</f>
        <v>0</v>
      </c>
      <c r="L107" s="45">
        <f>IF(E107&gt;7000,7000*$K$5,E107*$K$5)</f>
        <v>0</v>
      </c>
      <c r="M107" s="43">
        <f>SUM(H107:L107,E107:F107)</f>
        <v>0</v>
      </c>
      <c r="N107" s="42" t="str">
        <f t="shared" si="3"/>
        <v/>
      </c>
    </row>
    <row r="108" spans="2:14" ht="14.25" hidden="1" customHeight="1" x14ac:dyDescent="0.25">
      <c r="B108" s="69" t="s">
        <v>26</v>
      </c>
      <c r="D108" s="50"/>
      <c r="E108" s="119">
        <f>+D108*1.03</f>
        <v>0</v>
      </c>
      <c r="F108" s="45">
        <f t="shared" si="46"/>
        <v>0</v>
      </c>
      <c r="G108" s="51" t="s">
        <v>173</v>
      </c>
      <c r="H108" s="45">
        <f>+$E108*$H$5</f>
        <v>0</v>
      </c>
      <c r="I108" s="45" t="str">
        <f>IF(J108="Y",5800.19," ")</f>
        <v xml:space="preserve"> </v>
      </c>
      <c r="J108" s="45" t="s">
        <v>171</v>
      </c>
      <c r="K108" s="45">
        <f>+$E108*$I$5</f>
        <v>0</v>
      </c>
      <c r="L108" s="45">
        <f>IF(E108&gt;7000,7000*$K$5,E108*$K$5)</f>
        <v>0</v>
      </c>
      <c r="M108" s="43">
        <f>SUM(H108:L108,E108:F108)</f>
        <v>0</v>
      </c>
      <c r="N108" s="42" t="str">
        <f t="shared" si="3"/>
        <v/>
      </c>
    </row>
    <row r="109" spans="2:14" ht="12.75" hidden="1" customHeight="1" x14ac:dyDescent="0.25">
      <c r="B109" s="72" t="s">
        <v>8</v>
      </c>
      <c r="C109" s="99" t="s">
        <v>9</v>
      </c>
      <c r="D109" s="50">
        <f>SUM(D107:D108)</f>
        <v>0</v>
      </c>
      <c r="E109" s="54">
        <f>SUM(E107:E108)</f>
        <v>0</v>
      </c>
      <c r="F109" s="53">
        <f>SUM(F107:F108)</f>
        <v>0</v>
      </c>
      <c r="H109" s="53">
        <f>SUM(H107:H108)</f>
        <v>0</v>
      </c>
      <c r="I109" s="53">
        <f>SUM(I107:I108)</f>
        <v>0</v>
      </c>
      <c r="J109" s="53"/>
      <c r="K109" s="53">
        <f>SUM(K107:K108)</f>
        <v>0</v>
      </c>
      <c r="L109" s="53">
        <f>SUM(L107:L108)</f>
        <v>0</v>
      </c>
      <c r="M109" s="53">
        <f>SUM(M107:M108)</f>
        <v>0</v>
      </c>
      <c r="N109" s="42" t="str">
        <f t="shared" si="3"/>
        <v/>
      </c>
    </row>
    <row r="110" spans="2:14" ht="12.75" hidden="1" customHeight="1" x14ac:dyDescent="0.25">
      <c r="B110" s="77"/>
      <c r="C110" s="78"/>
      <c r="D110" s="50"/>
      <c r="E110" s="44"/>
      <c r="F110" s="43"/>
      <c r="N110" s="42" t="str">
        <f>IF(N109="*","*","")</f>
        <v/>
      </c>
    </row>
    <row r="111" spans="2:14" ht="12.75" hidden="1" customHeight="1" x14ac:dyDescent="0.25">
      <c r="B111" s="69" t="s">
        <v>20</v>
      </c>
      <c r="C111" s="78"/>
      <c r="D111" s="50"/>
      <c r="E111" s="119">
        <f>D111*PRInf</f>
        <v>0</v>
      </c>
      <c r="F111" s="45">
        <f t="shared" ref="F111:F112" si="47">IF(G111="Y",E111*$F$5," ")</f>
        <v>0</v>
      </c>
      <c r="G111" s="51" t="s">
        <v>173</v>
      </c>
      <c r="H111" s="45">
        <f>+$E111*$H$5</f>
        <v>0</v>
      </c>
      <c r="I111" s="45" t="str">
        <f>IF(J111="Y",5800.19," ")</f>
        <v xml:space="preserve"> </v>
      </c>
      <c r="J111" s="45" t="s">
        <v>171</v>
      </c>
      <c r="K111" s="45">
        <f>+$E111*$I$5</f>
        <v>0</v>
      </c>
      <c r="L111" s="45">
        <f>IF(E111&gt;7000,7000*$K$5,E111*$K$5)</f>
        <v>0</v>
      </c>
      <c r="M111" s="43">
        <f>SUM(H111:L111,E111:F111)</f>
        <v>0</v>
      </c>
      <c r="N111" s="42" t="str">
        <f t="shared" si="3"/>
        <v/>
      </c>
    </row>
    <row r="112" spans="2:14" ht="12.75" customHeight="1" x14ac:dyDescent="0.25">
      <c r="B112" s="69" t="s">
        <v>20</v>
      </c>
      <c r="C112" s="70" t="s">
        <v>436</v>
      </c>
      <c r="D112" s="50"/>
      <c r="E112" s="119">
        <f>16.15*180*8</f>
        <v>23255.999999999996</v>
      </c>
      <c r="F112" s="45">
        <f t="shared" si="47"/>
        <v>1676.7575999999997</v>
      </c>
      <c r="G112" s="51" t="s">
        <v>173</v>
      </c>
      <c r="H112" s="45">
        <f>+$E112*$H$5</f>
        <v>1779.0839999999996</v>
      </c>
      <c r="I112" s="45" t="str">
        <f>IF(J112="Y",5800.19," ")</f>
        <v xml:space="preserve"> </v>
      </c>
      <c r="J112" s="45" t="s">
        <v>171</v>
      </c>
      <c r="K112" s="45">
        <f>+$E112*$I$5</f>
        <v>116.27999999999999</v>
      </c>
      <c r="L112" s="45">
        <f>IF(E112&gt;7000,7000*$K$5,E112*$K$5)</f>
        <v>280</v>
      </c>
      <c r="M112" s="43">
        <f>SUM(H112:L112,E112:F112)</f>
        <v>27108.121599999995</v>
      </c>
      <c r="N112" s="42" t="str">
        <f t="shared" si="3"/>
        <v>*</v>
      </c>
    </row>
    <row r="113" spans="2:14" ht="12.75" hidden="1" customHeight="1" x14ac:dyDescent="0.25">
      <c r="B113" s="69" t="s">
        <v>20</v>
      </c>
      <c r="C113" s="70"/>
      <c r="D113" s="50"/>
      <c r="E113" s="119"/>
      <c r="F113" s="45"/>
      <c r="G113" s="51" t="s">
        <v>173</v>
      </c>
      <c r="H113" s="45"/>
      <c r="I113" s="45" t="str">
        <f>IF(J113="Y",5800.19," ")</f>
        <v xml:space="preserve"> </v>
      </c>
      <c r="J113" s="45" t="s">
        <v>171</v>
      </c>
      <c r="K113" s="45"/>
      <c r="L113" s="45"/>
      <c r="M113" s="43">
        <f>SUM(H113:L113,E113:F113)</f>
        <v>0</v>
      </c>
      <c r="N113" s="42" t="str">
        <f t="shared" si="3"/>
        <v/>
      </c>
    </row>
    <row r="114" spans="2:14" ht="12.75" customHeight="1" x14ac:dyDescent="0.25">
      <c r="B114" s="72" t="s">
        <v>10</v>
      </c>
      <c r="C114" s="99" t="s">
        <v>11</v>
      </c>
      <c r="D114" s="50">
        <f>SUM(D111:D113)</f>
        <v>0</v>
      </c>
      <c r="E114" s="54">
        <f>SUM(E111:E113)</f>
        <v>23255.999999999996</v>
      </c>
      <c r="F114" s="53">
        <f>SUM(F111:F113)</f>
        <v>1676.7575999999997</v>
      </c>
      <c r="H114" s="53">
        <f>SUM(H111:H113)</f>
        <v>1779.0839999999996</v>
      </c>
      <c r="I114" s="53">
        <f>SUM(I111:I113)</f>
        <v>0</v>
      </c>
      <c r="J114" s="53"/>
      <c r="K114" s="53">
        <f>SUM(K111:K113)</f>
        <v>116.27999999999999</v>
      </c>
      <c r="L114" s="53">
        <f>SUM(L111:L113)</f>
        <v>280</v>
      </c>
      <c r="M114" s="53">
        <f>SUM(M111:M113)</f>
        <v>27108.121599999995</v>
      </c>
      <c r="N114" s="42" t="str">
        <f t="shared" ref="N114:N143" si="48">IF(M114&gt;0.49,"*","")</f>
        <v>*</v>
      </c>
    </row>
    <row r="115" spans="2:14" ht="12.75" hidden="1" customHeight="1" x14ac:dyDescent="0.25">
      <c r="B115" s="77"/>
      <c r="C115" s="78"/>
      <c r="D115" s="50"/>
      <c r="E115" s="44"/>
      <c r="F115" s="43"/>
    </row>
    <row r="116" spans="2:14" ht="12.75" hidden="1" customHeight="1" x14ac:dyDescent="0.25">
      <c r="B116" s="69" t="s">
        <v>267</v>
      </c>
      <c r="C116" s="70"/>
      <c r="D116" s="50"/>
      <c r="E116" s="119"/>
      <c r="F116" s="45">
        <f t="shared" ref="F116:F117" si="49">IF(G116="Y",E116*$F$5," ")</f>
        <v>0</v>
      </c>
      <c r="G116" s="51" t="s">
        <v>173</v>
      </c>
      <c r="H116" s="45">
        <f>+$E116*$H$5</f>
        <v>0</v>
      </c>
      <c r="I116" s="45" t="str">
        <f>IF(J116="Y",5800.19," ")</f>
        <v xml:space="preserve"> </v>
      </c>
      <c r="J116" s="45" t="s">
        <v>171</v>
      </c>
      <c r="K116" s="45">
        <f>+$E116*$I$5</f>
        <v>0</v>
      </c>
      <c r="L116" s="45">
        <f>IF(E116&gt;7000,7000*$K$5,E116*$K$5)</f>
        <v>0</v>
      </c>
      <c r="M116" s="43">
        <f>SUM(H116:L116,E116:F116)</f>
        <v>0</v>
      </c>
      <c r="N116" s="42" t="str">
        <f t="shared" si="48"/>
        <v/>
      </c>
    </row>
    <row r="117" spans="2:14" ht="12.75" hidden="1" customHeight="1" x14ac:dyDescent="0.25">
      <c r="B117" s="69" t="s">
        <v>267</v>
      </c>
      <c r="C117" s="70"/>
      <c r="D117" s="50"/>
      <c r="E117" s="119"/>
      <c r="F117" s="45">
        <f t="shared" si="49"/>
        <v>0</v>
      </c>
      <c r="G117" s="51" t="s">
        <v>173</v>
      </c>
      <c r="H117" s="45">
        <f>+$E117*$H$5</f>
        <v>0</v>
      </c>
      <c r="I117" s="45" t="str">
        <f>IF(J117="Y",5800.19," ")</f>
        <v xml:space="preserve"> </v>
      </c>
      <c r="J117" s="45" t="s">
        <v>171</v>
      </c>
      <c r="K117" s="45">
        <f>+$E117*$I$5</f>
        <v>0</v>
      </c>
      <c r="L117" s="45">
        <f>IF(E117&gt;7000,7000*$K$5,E117*$K$5)</f>
        <v>0</v>
      </c>
      <c r="M117" s="43">
        <f>SUM(H117:L117,E117:F117)</f>
        <v>0</v>
      </c>
      <c r="N117" s="42" t="str">
        <f t="shared" si="48"/>
        <v/>
      </c>
    </row>
    <row r="118" spans="2:14" ht="12.75" hidden="1" customHeight="1" x14ac:dyDescent="0.25">
      <c r="B118" s="97" t="s">
        <v>268</v>
      </c>
      <c r="C118" s="99" t="s">
        <v>269</v>
      </c>
      <c r="D118" s="50">
        <f>SUM(D116:D117)</f>
        <v>0</v>
      </c>
      <c r="E118" s="54">
        <f>SUM(E115:E117)</f>
        <v>0</v>
      </c>
      <c r="F118" s="54">
        <f>SUM(F115:F117)</f>
        <v>0</v>
      </c>
      <c r="H118" s="54">
        <f>SUM(H115:H117)</f>
        <v>0</v>
      </c>
      <c r="I118" s="54">
        <f>SUM(I115:I117)</f>
        <v>0</v>
      </c>
      <c r="J118" s="54"/>
      <c r="K118" s="54">
        <f>SUM(K115:K117)</f>
        <v>0</v>
      </c>
      <c r="L118" s="54">
        <f>SUM(L115:L117)</f>
        <v>0</v>
      </c>
      <c r="M118" s="54">
        <f>SUM(M115:M117)</f>
        <v>0</v>
      </c>
      <c r="N118" s="42" t="str">
        <f t="shared" si="48"/>
        <v/>
      </c>
    </row>
    <row r="119" spans="2:14" ht="12.75" customHeight="1" x14ac:dyDescent="0.25">
      <c r="B119" s="77"/>
      <c r="C119" s="78"/>
      <c r="D119" s="50"/>
      <c r="E119" s="44"/>
      <c r="F119" s="43"/>
      <c r="N119" s="42" t="str">
        <f>IF(N114="*","*","")</f>
        <v>*</v>
      </c>
    </row>
    <row r="120" spans="2:14" ht="12.75" hidden="1" customHeight="1" x14ac:dyDescent="0.25">
      <c r="B120" s="69" t="s">
        <v>25</v>
      </c>
      <c r="C120" s="70"/>
      <c r="D120" s="50"/>
      <c r="E120" s="119"/>
      <c r="F120" s="45">
        <f t="shared" ref="F120:F124" si="50">IF(G120="Y",E120*$F$5," ")</f>
        <v>0</v>
      </c>
      <c r="G120" s="51" t="s">
        <v>173</v>
      </c>
      <c r="H120" s="45">
        <f>+$E120*$H$5</f>
        <v>0</v>
      </c>
      <c r="I120" s="45" t="str">
        <f>IF(J120="Y",5800.19," ")</f>
        <v xml:space="preserve"> </v>
      </c>
      <c r="J120" s="45" t="s">
        <v>171</v>
      </c>
      <c r="K120" s="45">
        <f>+$E120*$I$5</f>
        <v>0</v>
      </c>
      <c r="L120" s="45">
        <f>IF(E120&gt;7000,7000*$K$5,E120*$K$5)</f>
        <v>0</v>
      </c>
      <c r="M120" s="43">
        <f>SUM(H120:L120,E120:F120)</f>
        <v>0</v>
      </c>
      <c r="N120" s="42" t="str">
        <f t="shared" si="48"/>
        <v/>
      </c>
    </row>
    <row r="121" spans="2:14" ht="12.75" hidden="1" customHeight="1" x14ac:dyDescent="0.25">
      <c r="B121" s="69" t="s">
        <v>25</v>
      </c>
      <c r="C121" s="70"/>
      <c r="D121" s="50"/>
      <c r="E121" s="119"/>
      <c r="F121" s="45">
        <f t="shared" si="50"/>
        <v>0</v>
      </c>
      <c r="G121" s="51" t="s">
        <v>173</v>
      </c>
      <c r="H121" s="45">
        <f>+$E121*$H$5</f>
        <v>0</v>
      </c>
      <c r="I121" s="45" t="str">
        <f>IF(J121="Y",5800.19," ")</f>
        <v xml:space="preserve"> </v>
      </c>
      <c r="J121" s="45" t="s">
        <v>171</v>
      </c>
      <c r="K121" s="45">
        <f>+$E121*$I$5</f>
        <v>0</v>
      </c>
      <c r="L121" s="45">
        <f>IF(E121&gt;7000,7000*$K$5,E121*$K$5)</f>
        <v>0</v>
      </c>
      <c r="M121" s="43">
        <f>SUM(H121:L121,E121:F121)</f>
        <v>0</v>
      </c>
      <c r="N121" s="42" t="str">
        <f t="shared" si="48"/>
        <v/>
      </c>
    </row>
    <row r="122" spans="2:14" ht="12.75" hidden="1" customHeight="1" x14ac:dyDescent="0.25">
      <c r="B122" s="69" t="s">
        <v>25</v>
      </c>
      <c r="C122" s="70"/>
      <c r="D122" s="50"/>
      <c r="E122" s="119"/>
      <c r="F122" s="45">
        <f t="shared" si="50"/>
        <v>0</v>
      </c>
      <c r="G122" s="51" t="s">
        <v>173</v>
      </c>
      <c r="H122" s="45">
        <f>+$E122*$H$5</f>
        <v>0</v>
      </c>
      <c r="I122" s="45" t="str">
        <f>IF(J122="Y",5800.19," ")</f>
        <v xml:space="preserve"> </v>
      </c>
      <c r="J122" s="45" t="s">
        <v>171</v>
      </c>
      <c r="K122" s="45">
        <f>+$E122*$I$5</f>
        <v>0</v>
      </c>
      <c r="L122" s="45">
        <f>IF(E122&gt;7000,7000*$K$5,E122*$K$5)</f>
        <v>0</v>
      </c>
      <c r="M122" s="43">
        <f>SUM(H122:L122,E122:F122)</f>
        <v>0</v>
      </c>
      <c r="N122" s="42" t="str">
        <f t="shared" si="48"/>
        <v/>
      </c>
    </row>
    <row r="123" spans="2:14" ht="12.75" hidden="1" customHeight="1" x14ac:dyDescent="0.25">
      <c r="B123" s="69" t="s">
        <v>25</v>
      </c>
      <c r="C123" s="70"/>
      <c r="D123" s="50"/>
      <c r="E123" s="119"/>
      <c r="F123" s="45">
        <f t="shared" si="50"/>
        <v>0</v>
      </c>
      <c r="G123" s="51" t="s">
        <v>173</v>
      </c>
      <c r="H123" s="45">
        <f>+$E123*$H$5</f>
        <v>0</v>
      </c>
      <c r="I123" s="45" t="str">
        <f>IF(J123="Y",5800.19," ")</f>
        <v xml:space="preserve"> </v>
      </c>
      <c r="J123" s="45" t="s">
        <v>171</v>
      </c>
      <c r="K123" s="45">
        <f>+$E123*$I$5</f>
        <v>0</v>
      </c>
      <c r="L123" s="45">
        <f>IF(E123&gt;7000,7000*$K$5,E123*$K$5)</f>
        <v>0</v>
      </c>
      <c r="M123" s="43">
        <f>SUM(H123:L123,E123:F123)</f>
        <v>0</v>
      </c>
      <c r="N123" s="42" t="str">
        <f t="shared" si="48"/>
        <v/>
      </c>
    </row>
    <row r="124" spans="2:14" ht="12.75" hidden="1" customHeight="1" x14ac:dyDescent="0.25">
      <c r="B124" s="69" t="s">
        <v>25</v>
      </c>
      <c r="C124" s="70"/>
      <c r="D124" s="50"/>
      <c r="E124" s="119"/>
      <c r="F124" s="45">
        <f t="shared" si="50"/>
        <v>0</v>
      </c>
      <c r="G124" s="51" t="s">
        <v>173</v>
      </c>
      <c r="H124" s="45">
        <f>+$E124*$H$5</f>
        <v>0</v>
      </c>
      <c r="I124" s="45" t="str">
        <f>IF(J124="Y",5800.19," ")</f>
        <v xml:space="preserve"> </v>
      </c>
      <c r="J124" s="45" t="s">
        <v>171</v>
      </c>
      <c r="K124" s="45">
        <f>+$E124*$I$5</f>
        <v>0</v>
      </c>
      <c r="L124" s="45">
        <f>IF(E124&gt;7000,7000*$K$5,E124*$K$5)</f>
        <v>0</v>
      </c>
      <c r="M124" s="43">
        <f>SUM(H124:L124,E124:F124)</f>
        <v>0</v>
      </c>
      <c r="N124" s="42" t="str">
        <f t="shared" si="48"/>
        <v/>
      </c>
    </row>
    <row r="125" spans="2:14" ht="12.75" hidden="1" customHeight="1" x14ac:dyDescent="0.25">
      <c r="B125" s="72" t="s">
        <v>12</v>
      </c>
      <c r="C125" s="99" t="s">
        <v>13</v>
      </c>
      <c r="D125" s="50">
        <f>SUM(D120:D124)</f>
        <v>0</v>
      </c>
      <c r="E125" s="54">
        <f>SUM(E120:E124)</f>
        <v>0</v>
      </c>
      <c r="F125" s="54">
        <f>SUM(F120:F124)</f>
        <v>0</v>
      </c>
      <c r="H125" s="54">
        <f>SUM(H120:H124)</f>
        <v>0</v>
      </c>
      <c r="I125" s="54">
        <f>SUM(I120:I124)</f>
        <v>0</v>
      </c>
      <c r="J125" s="54"/>
      <c r="K125" s="54">
        <f>SUM(K120:K124)</f>
        <v>0</v>
      </c>
      <c r="L125" s="54">
        <f>SUM(L120:L124)</f>
        <v>0</v>
      </c>
      <c r="M125" s="54">
        <f>SUM(M120:M124)</f>
        <v>0</v>
      </c>
      <c r="N125" s="42" t="str">
        <f t="shared" si="48"/>
        <v/>
      </c>
    </row>
    <row r="126" spans="2:14" ht="12.75" hidden="1" customHeight="1" x14ac:dyDescent="0.25">
      <c r="B126" s="77"/>
      <c r="C126" s="78"/>
      <c r="D126" s="50"/>
      <c r="E126" s="44"/>
      <c r="F126" s="43"/>
      <c r="N126" s="42" t="str">
        <f>IF(N125="*","*","")</f>
        <v/>
      </c>
    </row>
    <row r="127" spans="2:14" ht="12.75" hidden="1" customHeight="1" x14ac:dyDescent="0.25">
      <c r="B127" s="67" t="s">
        <v>28</v>
      </c>
      <c r="C127" s="78"/>
      <c r="D127" s="50"/>
      <c r="E127" s="119"/>
      <c r="F127" s="45">
        <f t="shared" ref="F127:F128" si="51">IF(G127="Y",E127*$F$5," ")</f>
        <v>0</v>
      </c>
      <c r="G127" s="51" t="s">
        <v>173</v>
      </c>
      <c r="H127" s="45">
        <f>+$E127*$H$5</f>
        <v>0</v>
      </c>
      <c r="I127" s="45" t="str">
        <f>IF(J127="Y",5800.19," ")</f>
        <v xml:space="preserve"> </v>
      </c>
      <c r="J127" s="45" t="s">
        <v>171</v>
      </c>
      <c r="K127" s="45">
        <f>+$E127*$I$5</f>
        <v>0</v>
      </c>
      <c r="L127" s="45">
        <f>IF(E127&gt;7000,7000*$K$5,E127*$K$5)</f>
        <v>0</v>
      </c>
      <c r="M127" s="43">
        <f>SUM(H127:L127,E127:F127)</f>
        <v>0</v>
      </c>
      <c r="N127" s="42" t="str">
        <f t="shared" si="48"/>
        <v/>
      </c>
    </row>
    <row r="128" spans="2:14" ht="12.75" hidden="1" customHeight="1" x14ac:dyDescent="0.25">
      <c r="B128" s="69" t="s">
        <v>28</v>
      </c>
      <c r="C128" s="70"/>
      <c r="D128" s="50"/>
      <c r="E128" s="119"/>
      <c r="F128" s="45">
        <f t="shared" si="51"/>
        <v>0</v>
      </c>
      <c r="G128" s="51" t="s">
        <v>173</v>
      </c>
      <c r="H128" s="45">
        <f>+$E128*$H$5</f>
        <v>0</v>
      </c>
      <c r="I128" s="45" t="str">
        <f>IF(J128="Y",5800.19," ")</f>
        <v xml:space="preserve"> </v>
      </c>
      <c r="J128" s="45" t="s">
        <v>171</v>
      </c>
      <c r="K128" s="45">
        <f>+$E128*$I$5</f>
        <v>0</v>
      </c>
      <c r="L128" s="45">
        <f>IF(E128&gt;7000,7000*$K$5,E128*$K$5)</f>
        <v>0</v>
      </c>
      <c r="M128" s="43">
        <f>SUM(H128:L128,E128:F128)</f>
        <v>0</v>
      </c>
      <c r="N128" s="42" t="str">
        <f t="shared" si="48"/>
        <v/>
      </c>
    </row>
    <row r="129" spans="2:14" ht="12.75" hidden="1" customHeight="1" x14ac:dyDescent="0.25">
      <c r="B129" s="80">
        <v>10040007900165</v>
      </c>
      <c r="C129" s="99" t="s">
        <v>18</v>
      </c>
      <c r="D129" s="50"/>
      <c r="E129" s="54">
        <f>SUM(E127:E128)</f>
        <v>0</v>
      </c>
      <c r="F129" s="54">
        <f>SUM(F127:F128)</f>
        <v>0</v>
      </c>
      <c r="H129" s="54">
        <f>SUM(H127:H128)</f>
        <v>0</v>
      </c>
      <c r="I129" s="54">
        <f>SUM(I127:I128)</f>
        <v>0</v>
      </c>
      <c r="J129" s="54"/>
      <c r="K129" s="54">
        <f>SUM(K127:K128)</f>
        <v>0</v>
      </c>
      <c r="L129" s="54">
        <f>SUM(L127:L128)</f>
        <v>0</v>
      </c>
      <c r="M129" s="54">
        <f>SUM(M127:M128)</f>
        <v>0</v>
      </c>
      <c r="N129" s="42" t="str">
        <f t="shared" si="48"/>
        <v/>
      </c>
    </row>
    <row r="130" spans="2:14" ht="12.75" hidden="1" customHeight="1" x14ac:dyDescent="0.25">
      <c r="B130" s="77"/>
      <c r="C130" s="78"/>
      <c r="D130" s="50"/>
      <c r="E130" s="44"/>
      <c r="F130" s="43"/>
      <c r="N130" s="42" t="str">
        <f>IF(N129="*","*","")</f>
        <v/>
      </c>
    </row>
    <row r="131" spans="2:14" ht="12.75" hidden="1" customHeight="1" x14ac:dyDescent="0.25">
      <c r="B131" s="67" t="s">
        <v>27</v>
      </c>
      <c r="C131" s="78"/>
      <c r="D131" s="50"/>
      <c r="E131" s="119"/>
      <c r="F131" s="45">
        <f t="shared" ref="F131:F132" si="52">IF(G131="Y",E131*$F$5," ")</f>
        <v>0</v>
      </c>
      <c r="G131" s="51" t="s">
        <v>173</v>
      </c>
      <c r="H131" s="45">
        <f>+$E131*$H$5</f>
        <v>0</v>
      </c>
      <c r="I131" s="45" t="str">
        <f>IF(J131="Y",5800.19," ")</f>
        <v xml:space="preserve"> </v>
      </c>
      <c r="J131" s="45" t="s">
        <v>171</v>
      </c>
      <c r="K131" s="45">
        <f>+$E131*$I$5</f>
        <v>0</v>
      </c>
      <c r="L131" s="45">
        <f>IF(E131&gt;7000,7000*$K$5,E131*$K$5)</f>
        <v>0</v>
      </c>
      <c r="M131" s="43">
        <f>SUM(H131:L131,E131:F131)</f>
        <v>0</v>
      </c>
      <c r="N131" s="42" t="str">
        <f t="shared" si="48"/>
        <v/>
      </c>
    </row>
    <row r="132" spans="2:14" ht="12.75" hidden="1" customHeight="1" x14ac:dyDescent="0.25">
      <c r="B132" s="69" t="s">
        <v>27</v>
      </c>
      <c r="C132" s="70"/>
      <c r="D132" s="50"/>
      <c r="E132" s="119"/>
      <c r="F132" s="45">
        <f t="shared" si="52"/>
        <v>0</v>
      </c>
      <c r="G132" s="51" t="s">
        <v>173</v>
      </c>
      <c r="H132" s="45">
        <f>+$E132*$H$5</f>
        <v>0</v>
      </c>
      <c r="I132" s="45" t="str">
        <f>IF(J132="Y",5800.19," ")</f>
        <v xml:space="preserve"> </v>
      </c>
      <c r="J132" s="45" t="s">
        <v>171</v>
      </c>
      <c r="K132" s="45">
        <f>+$E132*$I$5</f>
        <v>0</v>
      </c>
      <c r="L132" s="45">
        <f>IF(E132&gt;7000,7000*$K$5,E132*$K$5)</f>
        <v>0</v>
      </c>
      <c r="M132" s="43">
        <f>SUM(H132:L132,E132:F132)</f>
        <v>0</v>
      </c>
      <c r="N132" s="42" t="str">
        <f t="shared" si="48"/>
        <v/>
      </c>
    </row>
    <row r="133" spans="2:14" ht="12.75" hidden="1" customHeight="1" x14ac:dyDescent="0.25">
      <c r="B133" s="72" t="s">
        <v>14</v>
      </c>
      <c r="C133" s="99" t="s">
        <v>15</v>
      </c>
      <c r="D133" s="50">
        <f>SUM(D131:D132)</f>
        <v>0</v>
      </c>
      <c r="E133" s="54">
        <f>SUM(E131:E132)</f>
        <v>0</v>
      </c>
      <c r="F133" s="53">
        <f>SUM(F131:F132)</f>
        <v>0</v>
      </c>
      <c r="H133" s="53">
        <f>SUM(H131:H132)</f>
        <v>0</v>
      </c>
      <c r="I133" s="53">
        <f>SUM(I131:I132)</f>
        <v>0</v>
      </c>
      <c r="J133" s="53"/>
      <c r="K133" s="53">
        <f>SUM(K131:K132)</f>
        <v>0</v>
      </c>
      <c r="L133" s="53">
        <f>SUM(L131:L132)</f>
        <v>0</v>
      </c>
      <c r="M133" s="53">
        <f>SUM(M131:M132)</f>
        <v>0</v>
      </c>
      <c r="N133" s="42" t="str">
        <f t="shared" si="48"/>
        <v/>
      </c>
    </row>
    <row r="134" spans="2:14" ht="12.75" hidden="1" customHeight="1" x14ac:dyDescent="0.25">
      <c r="B134" s="77"/>
      <c r="C134" s="78"/>
      <c r="D134" s="50"/>
      <c r="E134" s="44"/>
      <c r="F134" s="43"/>
      <c r="N134" s="42" t="str">
        <f>IF(N133="*","*","")</f>
        <v/>
      </c>
    </row>
    <row r="135" spans="2:14" ht="12.75" hidden="1" customHeight="1" x14ac:dyDescent="0.25">
      <c r="B135" s="69" t="s">
        <v>21</v>
      </c>
      <c r="C135" s="70"/>
      <c r="D135" s="50"/>
      <c r="E135" s="119"/>
      <c r="F135" s="45">
        <f>IF(G135="Y",E135*$F$5," ")</f>
        <v>0</v>
      </c>
      <c r="G135" s="51" t="s">
        <v>173</v>
      </c>
      <c r="H135" s="45">
        <f>+$E135*$H$5</f>
        <v>0</v>
      </c>
      <c r="I135" s="45" t="str">
        <f>IF(J135="Y",5800.19," ")</f>
        <v xml:space="preserve"> </v>
      </c>
      <c r="J135" s="45" t="s">
        <v>171</v>
      </c>
      <c r="K135" s="45">
        <f>+$E135*$I$5</f>
        <v>0</v>
      </c>
      <c r="L135" s="45">
        <f>IF(E135&gt;7000,7000*$K$5,E135*$K$5)</f>
        <v>0</v>
      </c>
      <c r="M135" s="43">
        <f>SUM(H135:L135,E135:F135)</f>
        <v>0</v>
      </c>
      <c r="N135" s="42" t="str">
        <f t="shared" si="48"/>
        <v/>
      </c>
    </row>
    <row r="136" spans="2:14" ht="12.75" hidden="1" customHeight="1" x14ac:dyDescent="0.25">
      <c r="B136" s="80">
        <v>89140009100150</v>
      </c>
      <c r="C136" s="99" t="s">
        <v>186</v>
      </c>
      <c r="D136" s="50">
        <f>SUM(D135)</f>
        <v>0</v>
      </c>
      <c r="E136" s="54">
        <f>SUM(E135)</f>
        <v>0</v>
      </c>
      <c r="F136" s="53">
        <f>SUM(F135)</f>
        <v>0</v>
      </c>
      <c r="H136" s="55">
        <f>SUM(H135)</f>
        <v>0</v>
      </c>
      <c r="I136" s="55">
        <f>SUM(I135)</f>
        <v>0</v>
      </c>
      <c r="J136" s="55"/>
      <c r="K136" s="55">
        <f>SUM(K135)</f>
        <v>0</v>
      </c>
      <c r="L136" s="55">
        <f>SUM(L135)</f>
        <v>0</v>
      </c>
      <c r="M136" s="55">
        <f>SUM(M135)</f>
        <v>0</v>
      </c>
      <c r="N136" s="42" t="str">
        <f t="shared" si="48"/>
        <v/>
      </c>
    </row>
    <row r="137" spans="2:14" ht="12.75" customHeight="1" x14ac:dyDescent="0.25">
      <c r="B137" s="77"/>
      <c r="C137" s="78"/>
      <c r="D137" s="131">
        <f>SUM(D136:D136,D133:D133,D129:D129,D125,D118,D114:D114,D109,D101:D101,D92:D92,D74:D74,D51,D40,D105,D45)</f>
        <v>3665.83</v>
      </c>
      <c r="E137" s="131">
        <f>SUM(E136:E136,E133:E133,E129:E129,E125,E118,E114:E114,E109,E101:E101,E92:E92,E74:E74,E51,E40,E105,E45)</f>
        <v>292837.92</v>
      </c>
      <c r="F137" s="131">
        <f>SUM(F136:F136,F133:F133,F129:F129,F125,F118,F114:F114,F109,F101:F101,F92:F92,F74:F74,F51,F40,F105,F45)</f>
        <v>21113.614031999998</v>
      </c>
      <c r="G137" s="131">
        <f>SUM(G136:G136,G133:G133,G129:G129,G125,G118,G114:G114,G109,G101:G101,G92:G92,G74:G74,G51,G40,G105,G45)</f>
        <v>0</v>
      </c>
      <c r="H137" s="131">
        <f>SUM(H136:H136,H133:H133,H129:H129,H125,H118,H114:H114,H109,H101:H101,H92:H92,H74:H74,H51,H40,H105,H45)</f>
        <v>22402.100879999998</v>
      </c>
      <c r="I137" s="131">
        <f>SUM(I136:I136,I133:I133,I129:I129,I125,I118,I114:I114,I109,I101:I101,I92:I92,I74:I74,I51,I40,I105,I45)</f>
        <v>40601.33</v>
      </c>
      <c r="J137" s="131"/>
      <c r="K137" s="131">
        <f>SUM(K136:K136,K133:K133,K129:K129,K125,K118,K114:K114,K109,K101:K101,K92:K92,K74:K74,K51,K40,K105,K45)</f>
        <v>1464.1895999999999</v>
      </c>
      <c r="L137" s="131">
        <f>SUM(L136:L136,L133:L133,L129:L129,L125,L118,L114:L114,L109,L101:L101,L92:L92,L74:L74,L51,L40,L105,L45)</f>
        <v>4276.9759999999997</v>
      </c>
      <c r="M137" s="131">
        <f>SUM(M136:M136,M133:M133,M129:M129,M125,M118,M114:M114,M109,M101:M101,M92:M92,M74:M74,M51,M40,M105,M45)</f>
        <v>382696.130512</v>
      </c>
      <c r="N137" s="42" t="str">
        <f t="shared" si="48"/>
        <v>*</v>
      </c>
    </row>
    <row r="138" spans="2:14" ht="12.75" hidden="1" customHeight="1" x14ac:dyDescent="0.25">
      <c r="D138" s="50"/>
      <c r="N138" s="42" t="str">
        <f t="shared" si="48"/>
        <v/>
      </c>
    </row>
    <row r="139" spans="2:14" ht="12.75" hidden="1" customHeight="1" x14ac:dyDescent="0.25">
      <c r="D139" s="50"/>
      <c r="F139" s="186">
        <f>+F137/$E$137</f>
        <v>7.2099999999999997E-2</v>
      </c>
      <c r="G139" s="186"/>
      <c r="H139" s="186">
        <f t="shared" ref="H139:M139" si="53">+H137/$E$137</f>
        <v>7.6499999999999999E-2</v>
      </c>
      <c r="I139" s="186">
        <f t="shared" si="53"/>
        <v>0.13864778851044976</v>
      </c>
      <c r="J139" s="186"/>
      <c r="K139" s="186">
        <f t="shared" si="53"/>
        <v>5.0000000000000001E-3</v>
      </c>
      <c r="L139" s="186">
        <f t="shared" si="53"/>
        <v>1.4605266968157676E-2</v>
      </c>
      <c r="M139" s="186">
        <f t="shared" si="53"/>
        <v>1.3068530554786075</v>
      </c>
    </row>
    <row r="140" spans="2:14" ht="12.75" hidden="1" customHeight="1" x14ac:dyDescent="0.25">
      <c r="D140" s="50"/>
      <c r="F140" s="187"/>
      <c r="G140" s="187"/>
      <c r="H140" s="187"/>
      <c r="I140" s="187"/>
      <c r="J140" s="187" t="s">
        <v>214</v>
      </c>
      <c r="K140" s="187"/>
      <c r="L140" s="187"/>
      <c r="M140" s="187"/>
      <c r="N140" s="42" t="str">
        <f t="shared" si="48"/>
        <v/>
      </c>
    </row>
    <row r="141" spans="2:14" ht="12.75" hidden="1" customHeight="1" x14ac:dyDescent="0.25">
      <c r="D141" s="50"/>
      <c r="F141" s="186">
        <v>5.9455622387226244E-2</v>
      </c>
      <c r="G141" s="187"/>
      <c r="H141" s="187"/>
      <c r="I141" s="187"/>
      <c r="J141" s="187"/>
      <c r="K141" s="187"/>
      <c r="L141" s="187"/>
      <c r="M141" s="187"/>
      <c r="N141" s="42" t="str">
        <f t="shared" si="48"/>
        <v/>
      </c>
    </row>
    <row r="142" spans="2:14" ht="12.75" hidden="1" customHeight="1" x14ac:dyDescent="0.25">
      <c r="D142" s="50"/>
      <c r="F142" s="186">
        <v>7.7259721826360331E-2</v>
      </c>
      <c r="G142" s="187"/>
      <c r="H142" s="187"/>
      <c r="I142" s="187"/>
      <c r="J142" s="187"/>
      <c r="K142" s="187"/>
      <c r="L142" s="187"/>
      <c r="M142" s="187"/>
      <c r="N142" s="42" t="str">
        <f t="shared" si="48"/>
        <v/>
      </c>
    </row>
    <row r="143" spans="2:14" ht="12.75" hidden="1" customHeight="1" x14ac:dyDescent="0.25">
      <c r="D143" s="50"/>
      <c r="F143" s="186">
        <v>8.543054215294682E-2</v>
      </c>
      <c r="G143" s="187"/>
      <c r="H143" s="187"/>
      <c r="I143" s="187"/>
      <c r="J143" s="187"/>
      <c r="K143" s="187"/>
      <c r="L143" s="187"/>
      <c r="M143" s="187"/>
      <c r="N143" s="42" t="str">
        <f t="shared" si="48"/>
        <v/>
      </c>
    </row>
    <row r="144" spans="2:14" ht="12.75" hidden="1" customHeight="1" x14ac:dyDescent="0.25">
      <c r="D144" s="50"/>
      <c r="F144" s="186">
        <v>1.182395928360528E-2</v>
      </c>
      <c r="G144" s="187"/>
      <c r="H144" s="187"/>
      <c r="I144" s="187"/>
      <c r="J144" s="187"/>
      <c r="K144" s="187"/>
      <c r="L144" s="187"/>
      <c r="M144" s="187"/>
    </row>
    <row r="145" spans="4:13" ht="12.75" hidden="1" customHeight="1" x14ac:dyDescent="0.25">
      <c r="D145" s="50"/>
      <c r="F145" s="186">
        <v>9.1931650375494812E-4</v>
      </c>
      <c r="G145" s="187"/>
      <c r="H145" s="187"/>
      <c r="I145" s="187"/>
      <c r="J145" s="187"/>
      <c r="K145" s="187"/>
      <c r="L145" s="187"/>
      <c r="M145" s="187"/>
    </row>
    <row r="146" spans="4:13" ht="12.75" hidden="1" customHeight="1" x14ac:dyDescent="0.25">
      <c r="D146" s="50"/>
      <c r="F146" s="186">
        <v>1.2348891621538935</v>
      </c>
      <c r="G146" s="187"/>
      <c r="H146" s="187"/>
      <c r="I146" s="187"/>
      <c r="J146" s="187"/>
      <c r="K146" s="187"/>
      <c r="L146" s="187"/>
      <c r="M146" s="187"/>
    </row>
    <row r="147" spans="4:13" ht="12.75" customHeight="1" x14ac:dyDescent="0.25">
      <c r="D147" s="50"/>
    </row>
    <row r="148" spans="4:13" ht="12.75" customHeight="1" x14ac:dyDescent="0.25">
      <c r="D148" s="50"/>
    </row>
    <row r="149" spans="4:13" ht="12.75" customHeight="1" x14ac:dyDescent="0.25">
      <c r="D149" s="50"/>
    </row>
    <row r="150" spans="4:13" ht="12.75" customHeight="1" x14ac:dyDescent="0.25">
      <c r="D150" s="50"/>
    </row>
    <row r="151" spans="4:13" ht="12.75" customHeight="1" x14ac:dyDescent="0.25">
      <c r="D151" s="50"/>
    </row>
    <row r="152" spans="4:13" ht="12.75" customHeight="1" x14ac:dyDescent="0.25">
      <c r="D152" s="50"/>
    </row>
    <row r="153" spans="4:13" ht="12.75" customHeight="1" x14ac:dyDescent="0.25">
      <c r="D153" s="50"/>
    </row>
    <row r="154" spans="4:13" ht="12.75" customHeight="1" x14ac:dyDescent="0.25">
      <c r="D154" s="50"/>
    </row>
    <row r="155" spans="4:13" ht="12.75" customHeight="1" x14ac:dyDescent="0.25">
      <c r="D155" s="50"/>
    </row>
    <row r="156" spans="4:13" ht="12.75" customHeight="1" x14ac:dyDescent="0.25">
      <c r="D156" s="50"/>
    </row>
    <row r="157" spans="4:13" ht="12.75" customHeight="1" x14ac:dyDescent="0.25">
      <c r="D157" s="50"/>
    </row>
    <row r="158" spans="4:13" ht="12.75" customHeight="1" x14ac:dyDescent="0.25">
      <c r="D158" s="50"/>
    </row>
    <row r="159" spans="4:13" ht="12.75" customHeight="1" x14ac:dyDescent="0.25">
      <c r="D159" s="50"/>
    </row>
    <row r="160" spans="4:13" ht="12.75" customHeight="1" x14ac:dyDescent="0.25">
      <c r="D160" s="50"/>
    </row>
    <row r="161" spans="4:4" ht="12.75" customHeight="1" x14ac:dyDescent="0.25">
      <c r="D161" s="50"/>
    </row>
    <row r="162" spans="4:4" ht="12.75" customHeight="1" x14ac:dyDescent="0.25">
      <c r="D162" s="50"/>
    </row>
    <row r="163" spans="4:4" ht="12.75" customHeight="1" x14ac:dyDescent="0.25">
      <c r="D163" s="50"/>
    </row>
    <row r="164" spans="4:4" ht="12.75" customHeight="1" x14ac:dyDescent="0.25">
      <c r="D164" s="50"/>
    </row>
    <row r="165" spans="4:4" ht="12.75" customHeight="1" x14ac:dyDescent="0.25">
      <c r="D165" s="50"/>
    </row>
    <row r="166" spans="4:4" ht="12.75" customHeight="1" x14ac:dyDescent="0.25">
      <c r="D166" s="50"/>
    </row>
    <row r="167" spans="4:4" ht="12.75" customHeight="1" x14ac:dyDescent="0.25">
      <c r="D167" s="50"/>
    </row>
    <row r="168" spans="4:4" ht="12.75" customHeight="1" x14ac:dyDescent="0.25">
      <c r="D168" s="50"/>
    </row>
    <row r="169" spans="4:4" ht="12.75" customHeight="1" x14ac:dyDescent="0.25">
      <c r="D169" s="50"/>
    </row>
    <row r="170" spans="4:4" ht="12.75" customHeight="1" x14ac:dyDescent="0.25">
      <c r="D170" s="50"/>
    </row>
    <row r="171" spans="4:4" ht="12.75" customHeight="1" x14ac:dyDescent="0.25">
      <c r="D171" s="50"/>
    </row>
    <row r="172" spans="4:4" ht="12.75" customHeight="1" x14ac:dyDescent="0.25">
      <c r="D172" s="50"/>
    </row>
    <row r="173" spans="4:4" ht="12.75" customHeight="1" x14ac:dyDescent="0.25">
      <c r="D173" s="50"/>
    </row>
    <row r="174" spans="4:4" ht="12.75" customHeight="1" x14ac:dyDescent="0.25">
      <c r="D174" s="50"/>
    </row>
    <row r="175" spans="4:4" ht="12.75" customHeight="1" x14ac:dyDescent="0.25">
      <c r="D175" s="50"/>
    </row>
    <row r="176" spans="4:4" ht="12.75" customHeight="1" x14ac:dyDescent="0.25">
      <c r="D176" s="50"/>
    </row>
    <row r="177" spans="4:4" ht="12.75" customHeight="1" x14ac:dyDescent="0.25">
      <c r="D177" s="50"/>
    </row>
    <row r="178" spans="4:4" ht="12.75" customHeight="1" x14ac:dyDescent="0.25">
      <c r="D178" s="50"/>
    </row>
    <row r="179" spans="4:4" ht="12.75" customHeight="1" x14ac:dyDescent="0.25">
      <c r="D179" s="50"/>
    </row>
    <row r="180" spans="4:4" ht="12.75" customHeight="1" x14ac:dyDescent="0.25">
      <c r="D180" s="50"/>
    </row>
    <row r="181" spans="4:4" ht="12.75" customHeight="1" x14ac:dyDescent="0.25">
      <c r="D181" s="50"/>
    </row>
    <row r="182" spans="4:4" ht="12.75" customHeight="1" x14ac:dyDescent="0.25">
      <c r="D182" s="50"/>
    </row>
    <row r="183" spans="4:4" ht="12.75" customHeight="1" x14ac:dyDescent="0.25">
      <c r="D183" s="50"/>
    </row>
    <row r="184" spans="4:4" ht="12.75" customHeight="1" x14ac:dyDescent="0.25">
      <c r="D184" s="50"/>
    </row>
    <row r="185" spans="4:4" ht="12.75" customHeight="1" x14ac:dyDescent="0.25">
      <c r="D185" s="50"/>
    </row>
    <row r="186" spans="4:4" ht="12.75" customHeight="1" x14ac:dyDescent="0.25">
      <c r="D186" s="50"/>
    </row>
    <row r="187" spans="4:4" ht="12.75" customHeight="1" x14ac:dyDescent="0.25">
      <c r="D187" s="50"/>
    </row>
    <row r="188" spans="4:4" ht="12.75" customHeight="1" x14ac:dyDescent="0.25">
      <c r="D188" s="50"/>
    </row>
    <row r="189" spans="4:4" ht="12.75" customHeight="1" x14ac:dyDescent="0.25">
      <c r="D189" s="50"/>
    </row>
    <row r="190" spans="4:4" ht="12.75" customHeight="1" x14ac:dyDescent="0.25">
      <c r="D190" s="50"/>
    </row>
    <row r="191" spans="4:4" ht="12.75" customHeight="1" x14ac:dyDescent="0.25">
      <c r="D191" s="50"/>
    </row>
    <row r="192" spans="4:4" ht="12.75" customHeight="1" x14ac:dyDescent="0.25">
      <c r="D192" s="50"/>
    </row>
    <row r="193" spans="4:4" ht="12.75" customHeight="1" x14ac:dyDescent="0.25">
      <c r="D193" s="50"/>
    </row>
  </sheetData>
  <sheetProtection password="E92F" sheet="1" objects="1" scenarios="1"/>
  <autoFilter ref="N1:N146">
    <filterColumn colId="0">
      <customFilters>
        <customFilter operator="notEqual" val=" "/>
      </customFilters>
    </filterColumn>
  </autoFilter>
  <sortState ref="O38:Q56">
    <sortCondition ref="P14:P32"/>
    <sortCondition ref="O14:O32"/>
  </sortState>
  <mergeCells count="18">
    <mergeCell ref="I4:J4"/>
    <mergeCell ref="I5:J5"/>
    <mergeCell ref="I6:J6"/>
    <mergeCell ref="I7:J7"/>
    <mergeCell ref="I8:J8"/>
    <mergeCell ref="F10:G10"/>
    <mergeCell ref="I10:J10"/>
    <mergeCell ref="F13:G13"/>
    <mergeCell ref="I13:J13"/>
    <mergeCell ref="I9:J9"/>
    <mergeCell ref="B1:E1"/>
    <mergeCell ref="B2:E2"/>
    <mergeCell ref="F9:G9"/>
    <mergeCell ref="F4:G4"/>
    <mergeCell ref="F5:G5"/>
    <mergeCell ref="F6:G6"/>
    <mergeCell ref="F7:G7"/>
    <mergeCell ref="F8:G8"/>
  </mergeCells>
  <phoneticPr fontId="0" type="noConversion"/>
  <printOptions horizontalCentered="1"/>
  <pageMargins left="0" right="0" top="0.5" bottom="0.5" header="0" footer="0"/>
  <pageSetup fitToHeight="5" orientation="landscape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7"/>
  <sheetViews>
    <sheetView showOutlineSymbols="0" topLeftCell="B1" zoomScaleNormal="100" workbookViewId="0">
      <selection activeCell="C44" sqref="C44:D44"/>
    </sheetView>
  </sheetViews>
  <sheetFormatPr defaultColWidth="9.109375" defaultRowHeight="12.75" customHeight="1" x14ac:dyDescent="0.25"/>
  <cols>
    <col min="1" max="1" width="5.109375" style="51" hidden="1" customWidth="1"/>
    <col min="2" max="2" width="17.44140625" style="42" customWidth="1"/>
    <col min="3" max="3" width="20.5546875" style="78" customWidth="1"/>
    <col min="4" max="4" width="7.33203125" style="98" customWidth="1"/>
    <col min="5" max="5" width="16.5546875" style="42" bestFit="1" customWidth="1"/>
    <col min="6" max="6" width="8.6640625" style="42" bestFit="1" customWidth="1"/>
    <col min="7" max="7" width="2" style="42" bestFit="1" customWidth="1"/>
    <col min="8" max="8" width="14.88671875" style="42" bestFit="1" customWidth="1"/>
    <col min="9" max="9" width="14.6640625" style="42" customWidth="1"/>
    <col min="10" max="10" width="2" style="42" bestFit="1" customWidth="1"/>
    <col min="11" max="11" width="14.6640625" style="42" bestFit="1" customWidth="1"/>
    <col min="12" max="12" width="14.5546875" style="42" bestFit="1" customWidth="1"/>
    <col min="13" max="13" width="11.5546875" style="42" bestFit="1" customWidth="1"/>
    <col min="14" max="14" width="9.109375" style="42"/>
    <col min="15" max="15" width="14" style="42" customWidth="1"/>
    <col min="16" max="16384" width="9.109375" style="42"/>
  </cols>
  <sheetData>
    <row r="1" spans="1:14" ht="13.2" x14ac:dyDescent="0.25">
      <c r="B1" s="174" t="s">
        <v>176</v>
      </c>
      <c r="C1" s="174"/>
      <c r="D1" s="174"/>
      <c r="E1" s="174"/>
      <c r="N1" s="42" t="s">
        <v>189</v>
      </c>
    </row>
    <row r="2" spans="1:14" ht="17.25" customHeight="1" x14ac:dyDescent="0.25">
      <c r="B2" s="174" t="s">
        <v>215</v>
      </c>
      <c r="C2" s="174"/>
      <c r="D2" s="174"/>
      <c r="E2" s="174"/>
      <c r="N2" s="42" t="s">
        <v>189</v>
      </c>
    </row>
    <row r="3" spans="1:14" ht="18.75" customHeight="1" x14ac:dyDescent="0.25">
      <c r="B3" s="47"/>
      <c r="C3" s="102"/>
      <c r="D3" s="47"/>
      <c r="E3" s="47"/>
      <c r="N3" s="42" t="s">
        <v>189</v>
      </c>
    </row>
    <row r="4" spans="1:14" ht="18.75" customHeight="1" x14ac:dyDescent="0.25">
      <c r="B4" s="47"/>
      <c r="C4" s="102"/>
      <c r="D4" s="47"/>
      <c r="E4" s="47"/>
      <c r="F4" s="176" t="s">
        <v>30</v>
      </c>
      <c r="G4" s="176"/>
      <c r="H4" s="62" t="s">
        <v>32</v>
      </c>
      <c r="I4" s="176" t="s">
        <v>29</v>
      </c>
      <c r="J4" s="176"/>
      <c r="K4" s="62" t="s">
        <v>39</v>
      </c>
      <c r="N4" s="42" t="s">
        <v>189</v>
      </c>
    </row>
    <row r="5" spans="1:14" ht="18.75" customHeight="1" x14ac:dyDescent="0.25">
      <c r="B5" s="47"/>
      <c r="C5" s="102"/>
      <c r="D5" s="47"/>
      <c r="E5" s="48" t="s">
        <v>31</v>
      </c>
      <c r="F5" s="175">
        <v>1.4999999999999999E-2</v>
      </c>
      <c r="G5" s="175"/>
      <c r="H5" s="64">
        <v>7.6499999999999999E-2</v>
      </c>
      <c r="I5" s="175">
        <v>0.01</v>
      </c>
      <c r="J5" s="175"/>
      <c r="K5" s="63">
        <v>0.01</v>
      </c>
      <c r="L5" s="63"/>
      <c r="N5" s="42" t="s">
        <v>189</v>
      </c>
    </row>
    <row r="6" spans="1:14" ht="18.75" customHeight="1" x14ac:dyDescent="0.25">
      <c r="B6" s="47"/>
      <c r="C6" s="102"/>
      <c r="D6" s="47"/>
      <c r="E6" s="48" t="s">
        <v>33</v>
      </c>
      <c r="F6" s="175">
        <f>F5</f>
        <v>1.4999999999999999E-2</v>
      </c>
      <c r="G6" s="175"/>
      <c r="H6" s="64">
        <v>7.6499999999999999E-2</v>
      </c>
      <c r="I6" s="175">
        <v>0.01</v>
      </c>
      <c r="J6" s="175"/>
      <c r="K6" s="63">
        <v>0.01</v>
      </c>
      <c r="L6" s="63"/>
      <c r="N6" s="42" t="s">
        <v>189</v>
      </c>
    </row>
    <row r="7" spans="1:14" ht="18.75" customHeight="1" x14ac:dyDescent="0.25">
      <c r="B7" s="47"/>
      <c r="C7" s="102"/>
      <c r="D7" s="47"/>
      <c r="E7" s="48" t="s">
        <v>177</v>
      </c>
      <c r="F7" s="175">
        <f>F6</f>
        <v>1.4999999999999999E-2</v>
      </c>
      <c r="G7" s="175"/>
      <c r="H7" s="64">
        <v>7.6499999999999999E-2</v>
      </c>
      <c r="I7" s="175">
        <v>7.2999999999999995E-2</v>
      </c>
      <c r="J7" s="175"/>
      <c r="K7" s="63">
        <v>0.01</v>
      </c>
      <c r="L7" s="63"/>
      <c r="N7" s="42" t="s">
        <v>189</v>
      </c>
    </row>
    <row r="8" spans="1:14" ht="18.75" customHeight="1" x14ac:dyDescent="0.25">
      <c r="B8" s="47"/>
      <c r="C8" s="102"/>
      <c r="D8" s="47"/>
      <c r="E8" s="48" t="s">
        <v>178</v>
      </c>
      <c r="F8" s="175">
        <f>F7</f>
        <v>1.4999999999999999E-2</v>
      </c>
      <c r="G8" s="175"/>
      <c r="H8" s="64">
        <v>7.6499999999999999E-2</v>
      </c>
      <c r="I8" s="175">
        <v>7.2999999999999995E-2</v>
      </c>
      <c r="J8" s="175"/>
      <c r="K8" s="63">
        <v>0.01</v>
      </c>
      <c r="L8" s="63"/>
      <c r="N8" s="42" t="s">
        <v>189</v>
      </c>
    </row>
    <row r="9" spans="1:14" ht="18.75" customHeight="1" x14ac:dyDescent="0.25">
      <c r="A9" s="62" t="s">
        <v>34</v>
      </c>
      <c r="B9" s="47"/>
      <c r="C9" s="102"/>
      <c r="D9" s="47"/>
      <c r="E9" s="48" t="s">
        <v>179</v>
      </c>
      <c r="F9" s="175">
        <f>F8</f>
        <v>1.4999999999999999E-2</v>
      </c>
      <c r="G9" s="175"/>
      <c r="H9" s="64">
        <v>7.6499999999999999E-2</v>
      </c>
      <c r="I9" s="175">
        <v>7.2999999999999995E-2</v>
      </c>
      <c r="J9" s="175"/>
      <c r="K9" s="63">
        <v>0.01</v>
      </c>
      <c r="L9" s="90"/>
      <c r="N9" s="42" t="s">
        <v>189</v>
      </c>
    </row>
    <row r="10" spans="1:14" ht="14.1" customHeight="1" x14ac:dyDescent="0.25">
      <c r="A10" s="51">
        <v>1</v>
      </c>
      <c r="B10" s="47"/>
      <c r="C10" s="102"/>
      <c r="D10" s="47"/>
      <c r="E10" s="48" t="s">
        <v>180</v>
      </c>
      <c r="F10" s="175">
        <f>F9</f>
        <v>1.4999999999999999E-2</v>
      </c>
      <c r="G10" s="175"/>
      <c r="H10" s="64">
        <v>7.6499999999999999E-2</v>
      </c>
      <c r="I10" s="175">
        <v>0.01</v>
      </c>
      <c r="J10" s="175"/>
      <c r="K10" s="63">
        <v>0.01</v>
      </c>
      <c r="L10" s="90"/>
      <c r="N10" s="42" t="s">
        <v>189</v>
      </c>
    </row>
    <row r="11" spans="1:14" ht="14.1" customHeight="1" x14ac:dyDescent="0.25">
      <c r="A11" s="51">
        <v>2</v>
      </c>
      <c r="B11" s="47"/>
      <c r="C11" s="103"/>
      <c r="D11" s="49"/>
      <c r="E11" s="47"/>
      <c r="N11" s="42" t="s">
        <v>189</v>
      </c>
    </row>
    <row r="12" spans="1:14" ht="14.1" customHeight="1" x14ac:dyDescent="0.25">
      <c r="A12" s="51">
        <v>3</v>
      </c>
      <c r="B12" s="47"/>
      <c r="C12" s="102"/>
      <c r="D12" s="47"/>
      <c r="E12" s="96" t="s">
        <v>218</v>
      </c>
    </row>
    <row r="13" spans="1:14" ht="13.2" x14ac:dyDescent="0.25">
      <c r="A13" s="51">
        <v>4</v>
      </c>
      <c r="B13" s="47" t="s">
        <v>35</v>
      </c>
      <c r="C13" s="102" t="s">
        <v>36</v>
      </c>
      <c r="D13" s="47"/>
      <c r="E13" s="1" t="s">
        <v>37</v>
      </c>
      <c r="F13" s="177" t="s">
        <v>38</v>
      </c>
      <c r="G13" s="178"/>
      <c r="H13" s="65" t="s">
        <v>32</v>
      </c>
      <c r="I13" s="179" t="s">
        <v>140</v>
      </c>
      <c r="J13" s="180"/>
      <c r="K13" s="65" t="s">
        <v>29</v>
      </c>
      <c r="L13" s="65" t="s">
        <v>39</v>
      </c>
      <c r="M13" s="66" t="s">
        <v>40</v>
      </c>
      <c r="N13" s="42" t="s">
        <v>189</v>
      </c>
    </row>
    <row r="14" spans="1:14" ht="14.1" customHeight="1" x14ac:dyDescent="0.25">
      <c r="A14" s="51">
        <v>5</v>
      </c>
      <c r="B14" s="67" t="s">
        <v>19</v>
      </c>
      <c r="C14" s="68" t="s">
        <v>181</v>
      </c>
      <c r="D14" s="50">
        <f>1716.67*24</f>
        <v>41200.080000000002</v>
      </c>
      <c r="E14" s="50">
        <f t="shared" ref="E14:E34" si="0">D14*Inf</f>
        <v>41612.080800000003</v>
      </c>
      <c r="F14" s="45">
        <f t="shared" ref="F14:F34" si="1">IF(G14="Y",E14*$F$5," ")</f>
        <v>624.18121200000007</v>
      </c>
      <c r="G14" s="51" t="s">
        <v>173</v>
      </c>
      <c r="H14" s="45">
        <f t="shared" ref="H14:H34" si="2">+$E14*$H$5</f>
        <v>3183.3241812000001</v>
      </c>
      <c r="I14" s="45">
        <f t="shared" ref="I14:I34" si="3">IF(J14="Y",3941," ")</f>
        <v>3941</v>
      </c>
      <c r="J14" s="52" t="s">
        <v>173</v>
      </c>
      <c r="K14" s="45">
        <f t="shared" ref="K14:K34" si="4">+$E14*$I$5</f>
        <v>416.12080800000007</v>
      </c>
      <c r="L14" s="45">
        <f t="shared" ref="L14:L34" si="5">IF(E14&gt;7000,7000*$K$5,E14*$K$5)</f>
        <v>70</v>
      </c>
      <c r="M14" s="43">
        <f t="shared" ref="M14:M34" si="6">SUM(H14:L14,E14:F14)</f>
        <v>49846.707001200004</v>
      </c>
      <c r="N14" s="42" t="str">
        <f t="shared" ref="N14:N35" si="7">IF(M14&gt;0.49,"*","")</f>
        <v>*</v>
      </c>
    </row>
    <row r="15" spans="1:14" ht="14.1" customHeight="1" x14ac:dyDescent="0.25">
      <c r="B15" s="69" t="s">
        <v>19</v>
      </c>
      <c r="C15" s="70" t="s">
        <v>222</v>
      </c>
      <c r="D15" s="50">
        <v>0</v>
      </c>
      <c r="E15" s="50">
        <f t="shared" si="0"/>
        <v>0</v>
      </c>
      <c r="F15" s="45" t="str">
        <f t="shared" si="1"/>
        <v xml:space="preserve"> </v>
      </c>
      <c r="G15" s="51" t="s">
        <v>171</v>
      </c>
      <c r="H15" s="45">
        <f t="shared" si="2"/>
        <v>0</v>
      </c>
      <c r="I15" s="45" t="str">
        <f t="shared" si="3"/>
        <v xml:space="preserve"> </v>
      </c>
      <c r="J15" s="52" t="s">
        <v>171</v>
      </c>
      <c r="K15" s="45">
        <f t="shared" si="4"/>
        <v>0</v>
      </c>
      <c r="L15" s="45">
        <f t="shared" si="5"/>
        <v>0</v>
      </c>
      <c r="M15" s="43">
        <f t="shared" si="6"/>
        <v>0</v>
      </c>
      <c r="N15" s="42" t="str">
        <f t="shared" si="7"/>
        <v/>
      </c>
    </row>
    <row r="16" spans="1:14" ht="14.1" customHeight="1" x14ac:dyDescent="0.25">
      <c r="A16" s="51">
        <v>6</v>
      </c>
      <c r="B16" s="69" t="s">
        <v>19</v>
      </c>
      <c r="C16" s="106" t="s">
        <v>223</v>
      </c>
      <c r="D16" s="105">
        <f>510.7*24</f>
        <v>12256.8</v>
      </c>
      <c r="E16" s="50">
        <f t="shared" si="0"/>
        <v>12379.367999999999</v>
      </c>
      <c r="F16" s="45" t="str">
        <f t="shared" si="1"/>
        <v xml:space="preserve"> </v>
      </c>
      <c r="G16" s="51" t="s">
        <v>171</v>
      </c>
      <c r="H16" s="45">
        <f t="shared" si="2"/>
        <v>947.0216519999999</v>
      </c>
      <c r="I16" s="45" t="str">
        <f t="shared" si="3"/>
        <v xml:space="preserve"> </v>
      </c>
      <c r="J16" s="52" t="s">
        <v>171</v>
      </c>
      <c r="K16" s="45">
        <f t="shared" si="4"/>
        <v>123.79367999999999</v>
      </c>
      <c r="L16" s="45">
        <f t="shared" si="5"/>
        <v>70</v>
      </c>
      <c r="M16" s="43">
        <f t="shared" si="6"/>
        <v>13520.183331999999</v>
      </c>
      <c r="N16" s="42" t="str">
        <f t="shared" si="7"/>
        <v>*</v>
      </c>
    </row>
    <row r="17" spans="1:14" ht="14.1" customHeight="1" x14ac:dyDescent="0.25">
      <c r="A17" s="51">
        <v>7</v>
      </c>
      <c r="B17" s="69" t="s">
        <v>19</v>
      </c>
      <c r="C17" s="70" t="s">
        <v>229</v>
      </c>
      <c r="D17" s="50">
        <v>0</v>
      </c>
      <c r="E17" s="50">
        <f t="shared" si="0"/>
        <v>0</v>
      </c>
      <c r="F17" s="45" t="str">
        <f t="shared" si="1"/>
        <v xml:space="preserve"> </v>
      </c>
      <c r="G17" s="51" t="s">
        <v>171</v>
      </c>
      <c r="H17" s="45">
        <f t="shared" si="2"/>
        <v>0</v>
      </c>
      <c r="I17" s="45" t="str">
        <f t="shared" si="3"/>
        <v xml:space="preserve"> </v>
      </c>
      <c r="J17" s="52" t="s">
        <v>171</v>
      </c>
      <c r="K17" s="45">
        <f t="shared" si="4"/>
        <v>0</v>
      </c>
      <c r="L17" s="45">
        <f t="shared" si="5"/>
        <v>0</v>
      </c>
      <c r="M17" s="43">
        <f t="shared" si="6"/>
        <v>0</v>
      </c>
      <c r="N17" s="42" t="str">
        <f t="shared" si="7"/>
        <v/>
      </c>
    </row>
    <row r="18" spans="1:14" ht="14.1" customHeight="1" x14ac:dyDescent="0.25">
      <c r="A18" s="51">
        <v>8</v>
      </c>
      <c r="B18" s="69" t="s">
        <v>19</v>
      </c>
      <c r="C18" s="106" t="s">
        <v>211</v>
      </c>
      <c r="D18" s="105">
        <v>0</v>
      </c>
      <c r="E18" s="50">
        <f t="shared" si="0"/>
        <v>0</v>
      </c>
      <c r="F18" s="45" t="str">
        <f t="shared" si="1"/>
        <v xml:space="preserve"> </v>
      </c>
      <c r="G18" s="51" t="s">
        <v>171</v>
      </c>
      <c r="H18" s="45">
        <f t="shared" si="2"/>
        <v>0</v>
      </c>
      <c r="I18" s="45" t="str">
        <f t="shared" si="3"/>
        <v xml:space="preserve"> </v>
      </c>
      <c r="J18" s="52" t="s">
        <v>171</v>
      </c>
      <c r="K18" s="45">
        <f t="shared" si="4"/>
        <v>0</v>
      </c>
      <c r="L18" s="45">
        <f t="shared" si="5"/>
        <v>0</v>
      </c>
      <c r="M18" s="43">
        <f t="shared" si="6"/>
        <v>0</v>
      </c>
      <c r="N18" s="42" t="str">
        <f t="shared" si="7"/>
        <v/>
      </c>
    </row>
    <row r="19" spans="1:14" ht="14.1" customHeight="1" x14ac:dyDescent="0.25">
      <c r="A19" s="51">
        <v>9</v>
      </c>
      <c r="B19" s="69" t="s">
        <v>19</v>
      </c>
      <c r="C19" s="106" t="s">
        <v>231</v>
      </c>
      <c r="D19" s="105">
        <f>408.33*24</f>
        <v>9799.92</v>
      </c>
      <c r="E19" s="50">
        <f t="shared" si="0"/>
        <v>9897.9192000000003</v>
      </c>
      <c r="F19" s="45" t="str">
        <f t="shared" si="1"/>
        <v xml:space="preserve"> </v>
      </c>
      <c r="G19" s="51" t="s">
        <v>171</v>
      </c>
      <c r="H19" s="45">
        <f t="shared" si="2"/>
        <v>757.19081879999999</v>
      </c>
      <c r="I19" s="45" t="str">
        <f t="shared" si="3"/>
        <v xml:space="preserve"> </v>
      </c>
      <c r="J19" s="52" t="s">
        <v>171</v>
      </c>
      <c r="K19" s="45">
        <f t="shared" si="4"/>
        <v>98.979192000000012</v>
      </c>
      <c r="L19" s="45">
        <f t="shared" si="5"/>
        <v>70</v>
      </c>
      <c r="M19" s="43">
        <f t="shared" si="6"/>
        <v>10824.089210800001</v>
      </c>
      <c r="N19" s="42" t="str">
        <f t="shared" si="7"/>
        <v>*</v>
      </c>
    </row>
    <row r="20" spans="1:14" ht="14.1" customHeight="1" x14ac:dyDescent="0.25">
      <c r="A20" s="51">
        <v>10</v>
      </c>
      <c r="B20" s="69" t="s">
        <v>19</v>
      </c>
      <c r="C20" s="106" t="s">
        <v>233</v>
      </c>
      <c r="D20" s="105">
        <f>612.5*24</f>
        <v>14700</v>
      </c>
      <c r="E20" s="50">
        <f t="shared" si="0"/>
        <v>14847</v>
      </c>
      <c r="F20" s="45" t="str">
        <f t="shared" si="1"/>
        <v xml:space="preserve"> </v>
      </c>
      <c r="G20" s="51" t="s">
        <v>171</v>
      </c>
      <c r="H20" s="45">
        <f t="shared" si="2"/>
        <v>1135.7954999999999</v>
      </c>
      <c r="I20" s="45" t="str">
        <f t="shared" si="3"/>
        <v xml:space="preserve"> </v>
      </c>
      <c r="J20" s="52" t="s">
        <v>171</v>
      </c>
      <c r="K20" s="45">
        <f t="shared" si="4"/>
        <v>148.47</v>
      </c>
      <c r="L20" s="45">
        <f t="shared" si="5"/>
        <v>70</v>
      </c>
      <c r="M20" s="43">
        <f t="shared" si="6"/>
        <v>16201.2655</v>
      </c>
      <c r="N20" s="42" t="str">
        <f t="shared" si="7"/>
        <v>*</v>
      </c>
    </row>
    <row r="21" spans="1:14" ht="14.1" customHeight="1" x14ac:dyDescent="0.25">
      <c r="A21" s="51">
        <v>59</v>
      </c>
      <c r="B21" s="69" t="s">
        <v>19</v>
      </c>
      <c r="C21" s="70" t="s">
        <v>182</v>
      </c>
      <c r="D21" s="50">
        <f>1583.33*24</f>
        <v>37999.919999999998</v>
      </c>
      <c r="E21" s="50">
        <f t="shared" si="0"/>
        <v>38379.919199999997</v>
      </c>
      <c r="F21" s="45" t="str">
        <f t="shared" si="1"/>
        <v xml:space="preserve"> </v>
      </c>
      <c r="G21" s="51" t="s">
        <v>171</v>
      </c>
      <c r="H21" s="45">
        <f t="shared" si="2"/>
        <v>2936.0638187999998</v>
      </c>
      <c r="I21" s="45">
        <f t="shared" si="3"/>
        <v>3941</v>
      </c>
      <c r="J21" s="52" t="s">
        <v>173</v>
      </c>
      <c r="K21" s="45">
        <f t="shared" si="4"/>
        <v>383.79919199999995</v>
      </c>
      <c r="L21" s="45">
        <f t="shared" si="5"/>
        <v>70</v>
      </c>
      <c r="M21" s="43">
        <f t="shared" si="6"/>
        <v>45710.782210799996</v>
      </c>
      <c r="N21" s="42" t="str">
        <f t="shared" si="7"/>
        <v>*</v>
      </c>
    </row>
    <row r="22" spans="1:14" ht="14.1" customHeight="1" x14ac:dyDescent="0.25">
      <c r="A22" s="51">
        <v>60</v>
      </c>
      <c r="B22" s="69" t="s">
        <v>19</v>
      </c>
      <c r="C22" s="78" t="s">
        <v>234</v>
      </c>
      <c r="D22" s="50">
        <f>1464.58*24</f>
        <v>35149.919999999998</v>
      </c>
      <c r="E22" s="50">
        <f t="shared" si="0"/>
        <v>35501.419199999997</v>
      </c>
      <c r="F22" s="45" t="str">
        <f t="shared" si="1"/>
        <v xml:space="preserve"> </v>
      </c>
      <c r="G22" s="51" t="s">
        <v>171</v>
      </c>
      <c r="H22" s="45">
        <f t="shared" si="2"/>
        <v>2715.8585687999998</v>
      </c>
      <c r="I22" s="45">
        <f t="shared" si="3"/>
        <v>3941</v>
      </c>
      <c r="J22" s="52" t="s">
        <v>173</v>
      </c>
      <c r="K22" s="45">
        <f t="shared" si="4"/>
        <v>355.01419199999998</v>
      </c>
      <c r="L22" s="45">
        <f t="shared" si="5"/>
        <v>70</v>
      </c>
      <c r="M22" s="43">
        <f t="shared" si="6"/>
        <v>42583.291960799994</v>
      </c>
      <c r="N22" s="42" t="str">
        <f t="shared" si="7"/>
        <v>*</v>
      </c>
    </row>
    <row r="23" spans="1:14" ht="14.1" customHeight="1" x14ac:dyDescent="0.25">
      <c r="A23" s="51">
        <v>61</v>
      </c>
      <c r="B23" s="69" t="s">
        <v>19</v>
      </c>
      <c r="C23" s="78" t="s">
        <v>212</v>
      </c>
      <c r="D23" s="50">
        <f>1716.67*24</f>
        <v>41200.080000000002</v>
      </c>
      <c r="E23" s="50">
        <f t="shared" si="0"/>
        <v>41612.080800000003</v>
      </c>
      <c r="F23" s="45" t="str">
        <f t="shared" si="1"/>
        <v xml:space="preserve"> </v>
      </c>
      <c r="G23" s="51" t="s">
        <v>171</v>
      </c>
      <c r="H23" s="45">
        <f t="shared" si="2"/>
        <v>3183.3241812000001</v>
      </c>
      <c r="I23" s="45">
        <f t="shared" si="3"/>
        <v>3941</v>
      </c>
      <c r="J23" s="52" t="s">
        <v>173</v>
      </c>
      <c r="K23" s="45">
        <f t="shared" si="4"/>
        <v>416.12080800000007</v>
      </c>
      <c r="L23" s="45">
        <f t="shared" si="5"/>
        <v>70</v>
      </c>
      <c r="M23" s="43">
        <f t="shared" si="6"/>
        <v>49222.525789200001</v>
      </c>
      <c r="N23" s="42" t="str">
        <f t="shared" si="7"/>
        <v>*</v>
      </c>
    </row>
    <row r="24" spans="1:14" ht="14.1" customHeight="1" x14ac:dyDescent="0.25">
      <c r="B24" s="69" t="s">
        <v>19</v>
      </c>
      <c r="C24" s="70"/>
      <c r="D24" s="50"/>
      <c r="E24" s="50">
        <f t="shared" si="0"/>
        <v>0</v>
      </c>
      <c r="F24" s="45" t="str">
        <f t="shared" si="1"/>
        <v xml:space="preserve"> </v>
      </c>
      <c r="G24" s="51" t="s">
        <v>171</v>
      </c>
      <c r="H24" s="45">
        <f t="shared" si="2"/>
        <v>0</v>
      </c>
      <c r="I24" s="45" t="str">
        <f t="shared" si="3"/>
        <v xml:space="preserve"> </v>
      </c>
      <c r="J24" s="52" t="s">
        <v>171</v>
      </c>
      <c r="K24" s="45">
        <f t="shared" si="4"/>
        <v>0</v>
      </c>
      <c r="L24" s="45">
        <f t="shared" si="5"/>
        <v>0</v>
      </c>
      <c r="M24" s="43">
        <f t="shared" si="6"/>
        <v>0</v>
      </c>
      <c r="N24" s="42" t="str">
        <f t="shared" si="7"/>
        <v/>
      </c>
    </row>
    <row r="25" spans="1:14" ht="14.1" customHeight="1" x14ac:dyDescent="0.25">
      <c r="B25" s="69" t="s">
        <v>19</v>
      </c>
      <c r="C25" s="70"/>
      <c r="D25" s="50"/>
      <c r="E25" s="50">
        <f t="shared" si="0"/>
        <v>0</v>
      </c>
      <c r="F25" s="45" t="str">
        <f t="shared" si="1"/>
        <v xml:space="preserve"> </v>
      </c>
      <c r="G25" s="51" t="s">
        <v>171</v>
      </c>
      <c r="H25" s="45">
        <f t="shared" si="2"/>
        <v>0</v>
      </c>
      <c r="I25" s="45" t="str">
        <f t="shared" si="3"/>
        <v xml:space="preserve"> </v>
      </c>
      <c r="J25" s="52" t="s">
        <v>171</v>
      </c>
      <c r="K25" s="45">
        <f t="shared" si="4"/>
        <v>0</v>
      </c>
      <c r="L25" s="45">
        <f t="shared" si="5"/>
        <v>0</v>
      </c>
      <c r="M25" s="43">
        <f t="shared" si="6"/>
        <v>0</v>
      </c>
      <c r="N25" s="42" t="str">
        <f t="shared" si="7"/>
        <v/>
      </c>
    </row>
    <row r="26" spans="1:14" ht="14.1" customHeight="1" x14ac:dyDescent="0.25">
      <c r="B26" s="69" t="s">
        <v>19</v>
      </c>
      <c r="C26" s="70"/>
      <c r="D26" s="50"/>
      <c r="E26" s="50">
        <f t="shared" si="0"/>
        <v>0</v>
      </c>
      <c r="F26" s="45" t="str">
        <f t="shared" si="1"/>
        <v xml:space="preserve"> </v>
      </c>
      <c r="G26" s="51" t="s">
        <v>171</v>
      </c>
      <c r="H26" s="45">
        <f t="shared" si="2"/>
        <v>0</v>
      </c>
      <c r="I26" s="45" t="str">
        <f t="shared" si="3"/>
        <v xml:space="preserve"> </v>
      </c>
      <c r="J26" s="52" t="s">
        <v>171</v>
      </c>
      <c r="K26" s="45">
        <f t="shared" si="4"/>
        <v>0</v>
      </c>
      <c r="L26" s="45">
        <f t="shared" si="5"/>
        <v>0</v>
      </c>
      <c r="M26" s="43">
        <f t="shared" si="6"/>
        <v>0</v>
      </c>
      <c r="N26" s="42" t="str">
        <f t="shared" si="7"/>
        <v/>
      </c>
    </row>
    <row r="27" spans="1:14" ht="15.9" customHeight="1" x14ac:dyDescent="0.25">
      <c r="A27" s="71">
        <f>+A23</f>
        <v>61</v>
      </c>
      <c r="B27" s="69" t="s">
        <v>19</v>
      </c>
      <c r="C27" s="70"/>
      <c r="D27" s="50"/>
      <c r="E27" s="50">
        <f t="shared" si="0"/>
        <v>0</v>
      </c>
      <c r="F27" s="45" t="str">
        <f t="shared" si="1"/>
        <v xml:space="preserve"> </v>
      </c>
      <c r="G27" s="51" t="s">
        <v>171</v>
      </c>
      <c r="H27" s="45">
        <f t="shared" si="2"/>
        <v>0</v>
      </c>
      <c r="I27" s="45" t="str">
        <f t="shared" si="3"/>
        <v xml:space="preserve"> </v>
      </c>
      <c r="J27" s="52" t="s">
        <v>171</v>
      </c>
      <c r="K27" s="45">
        <f t="shared" si="4"/>
        <v>0</v>
      </c>
      <c r="L27" s="45">
        <f t="shared" si="5"/>
        <v>0</v>
      </c>
      <c r="M27" s="43">
        <f t="shared" si="6"/>
        <v>0</v>
      </c>
      <c r="N27" s="42" t="str">
        <f t="shared" si="7"/>
        <v/>
      </c>
    </row>
    <row r="28" spans="1:14" ht="15.9" customHeight="1" x14ac:dyDescent="0.25">
      <c r="A28" s="73"/>
      <c r="B28" s="69" t="s">
        <v>19</v>
      </c>
      <c r="C28" s="70"/>
      <c r="D28" s="50"/>
      <c r="E28" s="50">
        <f t="shared" si="0"/>
        <v>0</v>
      </c>
      <c r="F28" s="45" t="str">
        <f t="shared" si="1"/>
        <v xml:space="preserve"> </v>
      </c>
      <c r="G28" s="51" t="s">
        <v>171</v>
      </c>
      <c r="H28" s="45">
        <f t="shared" si="2"/>
        <v>0</v>
      </c>
      <c r="I28" s="45" t="str">
        <f t="shared" si="3"/>
        <v xml:space="preserve"> </v>
      </c>
      <c r="J28" s="52" t="s">
        <v>171</v>
      </c>
      <c r="K28" s="45">
        <f t="shared" si="4"/>
        <v>0</v>
      </c>
      <c r="L28" s="45">
        <f t="shared" si="5"/>
        <v>0</v>
      </c>
      <c r="M28" s="43">
        <f t="shared" si="6"/>
        <v>0</v>
      </c>
      <c r="N28" s="42" t="str">
        <f t="shared" si="7"/>
        <v/>
      </c>
    </row>
    <row r="29" spans="1:14" ht="14.1" customHeight="1" x14ac:dyDescent="0.25">
      <c r="A29" s="73">
        <v>1</v>
      </c>
      <c r="B29" s="69" t="s">
        <v>19</v>
      </c>
      <c r="C29" s="70"/>
      <c r="D29" s="50"/>
      <c r="E29" s="50">
        <f t="shared" si="0"/>
        <v>0</v>
      </c>
      <c r="F29" s="45" t="str">
        <f t="shared" si="1"/>
        <v xml:space="preserve"> </v>
      </c>
      <c r="G29" s="51" t="s">
        <v>171</v>
      </c>
      <c r="H29" s="45">
        <f t="shared" si="2"/>
        <v>0</v>
      </c>
      <c r="I29" s="45" t="str">
        <f t="shared" si="3"/>
        <v xml:space="preserve"> </v>
      </c>
      <c r="J29" s="52" t="s">
        <v>171</v>
      </c>
      <c r="K29" s="45">
        <f t="shared" si="4"/>
        <v>0</v>
      </c>
      <c r="L29" s="45">
        <f t="shared" si="5"/>
        <v>0</v>
      </c>
      <c r="M29" s="43">
        <f t="shared" si="6"/>
        <v>0</v>
      </c>
      <c r="N29" s="42" t="str">
        <f t="shared" si="7"/>
        <v/>
      </c>
    </row>
    <row r="30" spans="1:14" ht="14.1" customHeight="1" x14ac:dyDescent="0.25">
      <c r="A30" s="73">
        <v>5</v>
      </c>
      <c r="B30" s="69" t="s">
        <v>19</v>
      </c>
      <c r="C30" s="70"/>
      <c r="D30" s="50"/>
      <c r="E30" s="50">
        <f t="shared" si="0"/>
        <v>0</v>
      </c>
      <c r="F30" s="45" t="str">
        <f t="shared" si="1"/>
        <v xml:space="preserve"> </v>
      </c>
      <c r="G30" s="51" t="s">
        <v>171</v>
      </c>
      <c r="H30" s="45">
        <f t="shared" si="2"/>
        <v>0</v>
      </c>
      <c r="I30" s="45" t="str">
        <f t="shared" si="3"/>
        <v xml:space="preserve"> </v>
      </c>
      <c r="J30" s="52" t="s">
        <v>171</v>
      </c>
      <c r="K30" s="45">
        <f t="shared" si="4"/>
        <v>0</v>
      </c>
      <c r="L30" s="45">
        <f t="shared" si="5"/>
        <v>0</v>
      </c>
      <c r="M30" s="43">
        <f t="shared" si="6"/>
        <v>0</v>
      </c>
      <c r="N30" s="42" t="str">
        <f t="shared" si="7"/>
        <v/>
      </c>
    </row>
    <row r="31" spans="1:14" ht="14.1" customHeight="1" x14ac:dyDescent="0.25">
      <c r="A31" s="73">
        <v>6</v>
      </c>
      <c r="B31" s="69" t="s">
        <v>19</v>
      </c>
      <c r="C31" s="70"/>
      <c r="D31" s="50"/>
      <c r="E31" s="50">
        <f t="shared" si="0"/>
        <v>0</v>
      </c>
      <c r="F31" s="45" t="str">
        <f t="shared" si="1"/>
        <v xml:space="preserve"> </v>
      </c>
      <c r="G31" s="51" t="s">
        <v>171</v>
      </c>
      <c r="H31" s="45">
        <f t="shared" si="2"/>
        <v>0</v>
      </c>
      <c r="I31" s="45" t="str">
        <f t="shared" si="3"/>
        <v xml:space="preserve"> </v>
      </c>
      <c r="J31" s="52" t="s">
        <v>171</v>
      </c>
      <c r="K31" s="45">
        <f t="shared" si="4"/>
        <v>0</v>
      </c>
      <c r="L31" s="45">
        <f t="shared" si="5"/>
        <v>0</v>
      </c>
      <c r="M31" s="43">
        <f t="shared" si="6"/>
        <v>0</v>
      </c>
      <c r="N31" s="42" t="str">
        <f t="shared" si="7"/>
        <v/>
      </c>
    </row>
    <row r="32" spans="1:14" ht="13.2" x14ac:dyDescent="0.25">
      <c r="A32" s="73">
        <v>7</v>
      </c>
      <c r="B32" s="69" t="s">
        <v>19</v>
      </c>
      <c r="C32" s="70"/>
      <c r="D32" s="50"/>
      <c r="E32" s="50">
        <f t="shared" si="0"/>
        <v>0</v>
      </c>
      <c r="F32" s="45" t="str">
        <f t="shared" si="1"/>
        <v xml:space="preserve"> </v>
      </c>
      <c r="G32" s="51" t="s">
        <v>171</v>
      </c>
      <c r="H32" s="45">
        <f t="shared" si="2"/>
        <v>0</v>
      </c>
      <c r="I32" s="45" t="str">
        <f t="shared" si="3"/>
        <v xml:space="preserve"> </v>
      </c>
      <c r="J32" s="52" t="s">
        <v>171</v>
      </c>
      <c r="K32" s="45">
        <f t="shared" si="4"/>
        <v>0</v>
      </c>
      <c r="L32" s="45">
        <f t="shared" si="5"/>
        <v>0</v>
      </c>
      <c r="M32" s="43">
        <f t="shared" si="6"/>
        <v>0</v>
      </c>
      <c r="N32" s="42" t="str">
        <f t="shared" si="7"/>
        <v/>
      </c>
    </row>
    <row r="33" spans="1:15" ht="15.9" customHeight="1" x14ac:dyDescent="0.25">
      <c r="A33" s="75">
        <f>+A32</f>
        <v>7</v>
      </c>
      <c r="B33" s="69" t="s">
        <v>19</v>
      </c>
      <c r="C33" s="70"/>
      <c r="D33" s="50"/>
      <c r="E33" s="50">
        <f t="shared" si="0"/>
        <v>0</v>
      </c>
      <c r="F33" s="45" t="str">
        <f t="shared" si="1"/>
        <v xml:space="preserve"> </v>
      </c>
      <c r="G33" s="51" t="s">
        <v>171</v>
      </c>
      <c r="H33" s="45">
        <f t="shared" si="2"/>
        <v>0</v>
      </c>
      <c r="I33" s="45" t="str">
        <f t="shared" si="3"/>
        <v xml:space="preserve"> </v>
      </c>
      <c r="J33" s="52" t="s">
        <v>171</v>
      </c>
      <c r="K33" s="45">
        <f t="shared" si="4"/>
        <v>0</v>
      </c>
      <c r="L33" s="45">
        <f t="shared" si="5"/>
        <v>0</v>
      </c>
      <c r="M33" s="43">
        <f t="shared" si="6"/>
        <v>0</v>
      </c>
      <c r="N33" s="42" t="str">
        <f t="shared" si="7"/>
        <v/>
      </c>
      <c r="O33" s="54"/>
    </row>
    <row r="34" spans="1:15" ht="15.9" customHeight="1" x14ac:dyDescent="0.25">
      <c r="A34" s="76"/>
      <c r="B34" s="69" t="s">
        <v>19</v>
      </c>
      <c r="C34" s="70"/>
      <c r="D34" s="50"/>
      <c r="E34" s="50">
        <f t="shared" si="0"/>
        <v>0</v>
      </c>
      <c r="F34" s="45" t="str">
        <f t="shared" si="1"/>
        <v xml:space="preserve"> </v>
      </c>
      <c r="G34" s="51" t="s">
        <v>171</v>
      </c>
      <c r="H34" s="45">
        <f t="shared" si="2"/>
        <v>0</v>
      </c>
      <c r="I34" s="45" t="str">
        <f t="shared" si="3"/>
        <v xml:space="preserve"> </v>
      </c>
      <c r="J34" s="52" t="s">
        <v>171</v>
      </c>
      <c r="K34" s="45">
        <f t="shared" si="4"/>
        <v>0</v>
      </c>
      <c r="L34" s="45">
        <f t="shared" si="5"/>
        <v>0</v>
      </c>
      <c r="M34" s="43">
        <f t="shared" si="6"/>
        <v>0</v>
      </c>
      <c r="N34" s="42" t="str">
        <f t="shared" si="7"/>
        <v/>
      </c>
    </row>
    <row r="35" spans="1:15" ht="15.9" customHeight="1" x14ac:dyDescent="0.25">
      <c r="A35" s="76">
        <v>1</v>
      </c>
      <c r="B35" s="72" t="s">
        <v>0</v>
      </c>
      <c r="C35" s="99" t="s">
        <v>1</v>
      </c>
      <c r="D35" s="50"/>
      <c r="E35" s="53">
        <f>SUM(E14:E34)</f>
        <v>194229.78719999999</v>
      </c>
      <c r="F35" s="53">
        <f t="shared" ref="F35:M35" si="8">SUM(F14:F34)</f>
        <v>624.18121200000007</v>
      </c>
      <c r="G35" s="53"/>
      <c r="H35" s="53">
        <f t="shared" si="8"/>
        <v>14858.5787208</v>
      </c>
      <c r="I35" s="53">
        <f t="shared" si="8"/>
        <v>15764</v>
      </c>
      <c r="J35" s="53"/>
      <c r="K35" s="53">
        <f t="shared" si="8"/>
        <v>1942.2978720000001</v>
      </c>
      <c r="L35" s="53">
        <f t="shared" si="8"/>
        <v>490</v>
      </c>
      <c r="M35" s="53">
        <f t="shared" si="8"/>
        <v>227908.84500479998</v>
      </c>
      <c r="N35" s="42" t="str">
        <f t="shared" si="7"/>
        <v>*</v>
      </c>
    </row>
    <row r="36" spans="1:15" ht="15.9" customHeight="1" x14ac:dyDescent="0.25">
      <c r="A36" s="76">
        <v>8</v>
      </c>
      <c r="B36" s="91"/>
      <c r="C36" s="100"/>
      <c r="D36" s="50"/>
      <c r="E36" s="53"/>
      <c r="F36" s="53"/>
      <c r="H36" s="53"/>
      <c r="I36" s="53"/>
      <c r="J36" s="53"/>
      <c r="K36" s="53"/>
      <c r="L36" s="53"/>
      <c r="M36" s="53"/>
      <c r="N36" s="42" t="str">
        <f>IF(N35="*","*","")</f>
        <v>*</v>
      </c>
    </row>
    <row r="37" spans="1:15" ht="15.9" customHeight="1" x14ac:dyDescent="0.25">
      <c r="A37" s="76">
        <v>9</v>
      </c>
      <c r="B37" s="69" t="s">
        <v>183</v>
      </c>
      <c r="C37" s="101"/>
      <c r="D37" s="50"/>
      <c r="E37" s="50">
        <f>D37*Inf</f>
        <v>0</v>
      </c>
      <c r="F37" s="45" t="str">
        <f>IF(G37="Y",E37*$F$5," ")</f>
        <v xml:space="preserve"> </v>
      </c>
      <c r="G37" s="51" t="s">
        <v>171</v>
      </c>
      <c r="H37" s="45">
        <f>+$E37*$H$5</f>
        <v>0</v>
      </c>
      <c r="I37" s="45" t="str">
        <f>IF(J37="Y",3941," ")</f>
        <v xml:space="preserve"> </v>
      </c>
      <c r="J37" s="52" t="s">
        <v>171</v>
      </c>
      <c r="K37" s="45">
        <f>+$E37*$I$5</f>
        <v>0</v>
      </c>
      <c r="L37" s="45">
        <f>IF(E37&gt;7000,7000*$K$5,E37*$K$5)</f>
        <v>0</v>
      </c>
      <c r="M37" s="43">
        <f>SUM(H37:L37,E37:F37)</f>
        <v>0</v>
      </c>
      <c r="N37" s="42" t="str">
        <f>IF(M37&gt;0.49,"*","")</f>
        <v/>
      </c>
    </row>
    <row r="38" spans="1:15" ht="15.9" customHeight="1" x14ac:dyDescent="0.25">
      <c r="A38" s="76">
        <f>A37</f>
        <v>9</v>
      </c>
      <c r="B38" s="69" t="s">
        <v>183</v>
      </c>
      <c r="C38" s="101"/>
      <c r="D38" s="50"/>
      <c r="E38" s="50">
        <f>D38*Inf</f>
        <v>0</v>
      </c>
      <c r="F38" s="45" t="str">
        <f>IF(G38="Y",E38*$F$5," ")</f>
        <v xml:space="preserve"> </v>
      </c>
      <c r="G38" s="51" t="s">
        <v>171</v>
      </c>
      <c r="H38" s="45">
        <f>+$E38*$H$5</f>
        <v>0</v>
      </c>
      <c r="I38" s="45" t="str">
        <f>IF(J38="Y",3941," ")</f>
        <v xml:space="preserve"> </v>
      </c>
      <c r="J38" s="52" t="s">
        <v>171</v>
      </c>
      <c r="K38" s="45">
        <f>+$E38*$I$5</f>
        <v>0</v>
      </c>
      <c r="L38" s="45">
        <f>IF(E38&gt;7000,7000*$K$5,E38*$K$5)</f>
        <v>0</v>
      </c>
      <c r="M38" s="43">
        <f>SUM(H38:L38,E38:F38)</f>
        <v>0</v>
      </c>
      <c r="N38" s="42" t="str">
        <f>IF(M38&gt;0.49,"*","")</f>
        <v/>
      </c>
    </row>
    <row r="39" spans="1:15" ht="15.9" customHeight="1" x14ac:dyDescent="0.25">
      <c r="A39" s="76"/>
      <c r="B39" s="69" t="s">
        <v>183</v>
      </c>
      <c r="C39" s="101"/>
      <c r="D39" s="50"/>
      <c r="E39" s="50">
        <f>D39*Inf</f>
        <v>0</v>
      </c>
      <c r="F39" s="45" t="str">
        <f>IF(G39="Y",E39*$F$5," ")</f>
        <v xml:space="preserve"> </v>
      </c>
      <c r="G39" s="51" t="s">
        <v>171</v>
      </c>
      <c r="H39" s="45">
        <f>+$E39*$H$5</f>
        <v>0</v>
      </c>
      <c r="I39" s="45" t="str">
        <f>IF(J39="Y",3941," ")</f>
        <v xml:space="preserve"> </v>
      </c>
      <c r="J39" s="52" t="s">
        <v>171</v>
      </c>
      <c r="K39" s="45">
        <f>+$E39*$I$5</f>
        <v>0</v>
      </c>
      <c r="L39" s="45">
        <f>IF(E39&gt;7000,7000*$K$5,E39*$K$5)</f>
        <v>0</v>
      </c>
      <c r="M39" s="43">
        <f>SUM(H39:L39,E39:F39)</f>
        <v>0</v>
      </c>
      <c r="N39" s="42" t="str">
        <f>IF(M39&gt;0.49,"*","")</f>
        <v/>
      </c>
    </row>
    <row r="40" spans="1:15" ht="15.9" customHeight="1" x14ac:dyDescent="0.25">
      <c r="A40" s="76">
        <v>1</v>
      </c>
      <c r="B40" s="69" t="s">
        <v>183</v>
      </c>
      <c r="C40" s="101"/>
      <c r="D40" s="105"/>
      <c r="E40" s="50">
        <f>D40*Inf</f>
        <v>0</v>
      </c>
      <c r="F40" s="45" t="str">
        <f>IF(G40="Y",E40*$F$5," ")</f>
        <v xml:space="preserve"> </v>
      </c>
      <c r="G40" s="51" t="s">
        <v>171</v>
      </c>
      <c r="H40" s="45">
        <f>+$E40*$H$5</f>
        <v>0</v>
      </c>
      <c r="I40" s="45" t="str">
        <f>IF(J40="Y",3941," ")</f>
        <v xml:space="preserve"> </v>
      </c>
      <c r="J40" s="52" t="s">
        <v>171</v>
      </c>
      <c r="K40" s="45">
        <f>+$E40*$I$5</f>
        <v>0</v>
      </c>
      <c r="L40" s="45">
        <f>IF(E40&gt;7000,7000*$K$5,E40*$K$5)</f>
        <v>0</v>
      </c>
      <c r="M40" s="43">
        <f>SUM(H40:L40,E40:F40)</f>
        <v>0</v>
      </c>
      <c r="N40" s="42" t="str">
        <f>IF(M40&gt;0.49,"*","")</f>
        <v/>
      </c>
    </row>
    <row r="41" spans="1:15" ht="15.9" customHeight="1" x14ac:dyDescent="0.25">
      <c r="A41" s="76">
        <f>+A40</f>
        <v>1</v>
      </c>
      <c r="B41" s="97" t="s">
        <v>220</v>
      </c>
      <c r="C41" s="99" t="s">
        <v>184</v>
      </c>
      <c r="D41" s="50"/>
      <c r="E41" s="53">
        <f>SUM(E37:E40)</f>
        <v>0</v>
      </c>
      <c r="F41" s="53">
        <f>SUM(F37:F40)</f>
        <v>0</v>
      </c>
      <c r="G41" s="53"/>
      <c r="H41" s="53">
        <f>SUM(H37:H40)</f>
        <v>0</v>
      </c>
      <c r="I41" s="53">
        <f>SUM(I37:I40)</f>
        <v>0</v>
      </c>
      <c r="J41" s="53"/>
      <c r="K41" s="53">
        <f>SUM(K37:K40)</f>
        <v>0</v>
      </c>
      <c r="L41" s="53">
        <f>SUM(L37:L40)</f>
        <v>0</v>
      </c>
      <c r="M41" s="53">
        <f>SUM(M37:M40)</f>
        <v>0</v>
      </c>
      <c r="N41" s="42" t="str">
        <f>IF(M41&gt;0.49,"*","")</f>
        <v/>
      </c>
    </row>
    <row r="42" spans="1:15" ht="15.9" customHeight="1" x14ac:dyDescent="0.25">
      <c r="A42" s="76"/>
      <c r="B42" s="74"/>
      <c r="D42" s="50"/>
      <c r="E42" s="45"/>
      <c r="F42" s="43"/>
      <c r="N42" s="42" t="str">
        <f>IF(N41="*","*","")</f>
        <v/>
      </c>
    </row>
    <row r="43" spans="1:15" ht="15.9" customHeight="1" x14ac:dyDescent="0.25">
      <c r="A43" s="79">
        <v>1</v>
      </c>
      <c r="B43" s="67" t="s">
        <v>23</v>
      </c>
      <c r="C43" s="106" t="s">
        <v>221</v>
      </c>
      <c r="D43" s="105">
        <f>364.58*24</f>
        <v>8749.92</v>
      </c>
      <c r="E43" s="50">
        <f t="shared" ref="E43:E66" si="9">D43*Inf</f>
        <v>8837.4192000000003</v>
      </c>
      <c r="F43" s="45" t="str">
        <f t="shared" ref="F43:F66" si="10">IF(G43="Y",E43*$F$5," ")</f>
        <v xml:space="preserve"> </v>
      </c>
      <c r="G43" s="51" t="s">
        <v>171</v>
      </c>
      <c r="H43" s="45">
        <f t="shared" ref="H43:H66" si="11">+$E43*$H$5</f>
        <v>676.06256880000001</v>
      </c>
      <c r="I43" s="45" t="str">
        <f t="shared" ref="I43:I66" si="12">IF(J43="Y",3941," ")</f>
        <v xml:space="preserve"> </v>
      </c>
      <c r="J43" s="45" t="s">
        <v>171</v>
      </c>
      <c r="K43" s="45">
        <f t="shared" ref="K43:K66" si="13">+$E43*$I$5</f>
        <v>88.374192000000008</v>
      </c>
      <c r="L43" s="45">
        <f t="shared" ref="L43:L66" si="14">IF(E43&gt;7000,7000*$K$5,E43*$K$5)</f>
        <v>70</v>
      </c>
      <c r="M43" s="43">
        <f t="shared" ref="M43:M66" si="15">SUM(H43:L43,E43:F43)</f>
        <v>9671.8559607999996</v>
      </c>
      <c r="N43" s="42" t="str">
        <f t="shared" ref="N43:N67" si="16">IF(M43&gt;0.49,"*","")</f>
        <v>*</v>
      </c>
    </row>
    <row r="44" spans="1:15" ht="15.9" customHeight="1" x14ac:dyDescent="0.25">
      <c r="A44" s="79">
        <v>3</v>
      </c>
      <c r="B44" s="69" t="s">
        <v>23</v>
      </c>
      <c r="C44" s="78" t="s">
        <v>232</v>
      </c>
      <c r="D44" s="50">
        <f>1092*24</f>
        <v>26208</v>
      </c>
      <c r="E44" s="50">
        <f t="shared" si="9"/>
        <v>26470.080000000002</v>
      </c>
      <c r="F44" s="45" t="str">
        <f t="shared" si="10"/>
        <v xml:space="preserve"> </v>
      </c>
      <c r="G44" s="51" t="s">
        <v>171</v>
      </c>
      <c r="H44" s="45">
        <f t="shared" si="11"/>
        <v>2024.9611200000002</v>
      </c>
      <c r="I44" s="45" t="str">
        <f t="shared" si="12"/>
        <v xml:space="preserve"> </v>
      </c>
      <c r="J44" s="45" t="s">
        <v>171</v>
      </c>
      <c r="K44" s="45">
        <f t="shared" si="13"/>
        <v>264.70080000000002</v>
      </c>
      <c r="L44" s="45">
        <f t="shared" si="14"/>
        <v>70</v>
      </c>
      <c r="M44" s="43">
        <f t="shared" si="15"/>
        <v>28829.74192</v>
      </c>
      <c r="N44" s="42" t="str">
        <f t="shared" si="16"/>
        <v>*</v>
      </c>
    </row>
    <row r="45" spans="1:15" ht="15.9" customHeight="1" x14ac:dyDescent="0.25">
      <c r="A45" s="79">
        <f>+A44</f>
        <v>3</v>
      </c>
      <c r="B45" s="69" t="s">
        <v>23</v>
      </c>
      <c r="C45" s="70"/>
      <c r="D45" s="50"/>
      <c r="E45" s="50">
        <f t="shared" si="9"/>
        <v>0</v>
      </c>
      <c r="F45" s="45" t="str">
        <f t="shared" si="10"/>
        <v xml:space="preserve"> </v>
      </c>
      <c r="G45" s="51" t="s">
        <v>171</v>
      </c>
      <c r="H45" s="45">
        <f t="shared" si="11"/>
        <v>0</v>
      </c>
      <c r="I45" s="45" t="str">
        <f t="shared" si="12"/>
        <v xml:space="preserve"> </v>
      </c>
      <c r="J45" s="45" t="s">
        <v>171</v>
      </c>
      <c r="K45" s="45">
        <f t="shared" si="13"/>
        <v>0</v>
      </c>
      <c r="L45" s="45">
        <f t="shared" si="14"/>
        <v>0</v>
      </c>
      <c r="M45" s="43">
        <f t="shared" si="15"/>
        <v>0</v>
      </c>
      <c r="N45" s="42" t="str">
        <f t="shared" si="16"/>
        <v/>
      </c>
    </row>
    <row r="46" spans="1:15" ht="15.9" customHeight="1" x14ac:dyDescent="0.25">
      <c r="A46" s="76"/>
      <c r="B46" s="69" t="s">
        <v>23</v>
      </c>
      <c r="C46" s="70"/>
      <c r="D46" s="50"/>
      <c r="E46" s="50">
        <f t="shared" si="9"/>
        <v>0</v>
      </c>
      <c r="F46" s="45" t="str">
        <f t="shared" si="10"/>
        <v xml:space="preserve"> </v>
      </c>
      <c r="G46" s="51" t="s">
        <v>171</v>
      </c>
      <c r="H46" s="45">
        <f t="shared" si="11"/>
        <v>0</v>
      </c>
      <c r="I46" s="45" t="str">
        <f t="shared" si="12"/>
        <v xml:space="preserve"> </v>
      </c>
      <c r="J46" s="45" t="s">
        <v>171</v>
      </c>
      <c r="K46" s="45">
        <f t="shared" si="13"/>
        <v>0</v>
      </c>
      <c r="L46" s="45">
        <f t="shared" si="14"/>
        <v>0</v>
      </c>
      <c r="M46" s="43">
        <f t="shared" si="15"/>
        <v>0</v>
      </c>
      <c r="N46" s="42" t="str">
        <f t="shared" si="16"/>
        <v/>
      </c>
    </row>
    <row r="47" spans="1:15" ht="15.9" customHeight="1" x14ac:dyDescent="0.25">
      <c r="A47" s="76"/>
      <c r="B47" s="69" t="s">
        <v>23</v>
      </c>
      <c r="C47" s="70"/>
      <c r="D47" s="50"/>
      <c r="E47" s="50">
        <f t="shared" si="9"/>
        <v>0</v>
      </c>
      <c r="F47" s="45" t="str">
        <f t="shared" si="10"/>
        <v xml:space="preserve"> </v>
      </c>
      <c r="G47" s="51" t="s">
        <v>171</v>
      </c>
      <c r="H47" s="45">
        <f t="shared" si="11"/>
        <v>0</v>
      </c>
      <c r="I47" s="45" t="str">
        <f t="shared" si="12"/>
        <v xml:space="preserve"> </v>
      </c>
      <c r="J47" s="45" t="s">
        <v>171</v>
      </c>
      <c r="K47" s="45">
        <f t="shared" si="13"/>
        <v>0</v>
      </c>
      <c r="L47" s="45">
        <f t="shared" si="14"/>
        <v>0</v>
      </c>
      <c r="M47" s="43">
        <f t="shared" si="15"/>
        <v>0</v>
      </c>
      <c r="N47" s="42" t="str">
        <f t="shared" si="16"/>
        <v/>
      </c>
    </row>
    <row r="48" spans="1:15" ht="15.9" customHeight="1" x14ac:dyDescent="0.25">
      <c r="A48" s="76">
        <v>1</v>
      </c>
      <c r="B48" s="69" t="s">
        <v>23</v>
      </c>
      <c r="C48" s="70"/>
      <c r="D48" s="50"/>
      <c r="E48" s="50">
        <f t="shared" si="9"/>
        <v>0</v>
      </c>
      <c r="F48" s="45" t="str">
        <f t="shared" si="10"/>
        <v xml:space="preserve"> </v>
      </c>
      <c r="G48" s="51" t="s">
        <v>171</v>
      </c>
      <c r="H48" s="45">
        <f t="shared" si="11"/>
        <v>0</v>
      </c>
      <c r="I48" s="45" t="str">
        <f t="shared" si="12"/>
        <v xml:space="preserve"> </v>
      </c>
      <c r="J48" s="45" t="s">
        <v>171</v>
      </c>
      <c r="K48" s="45">
        <f t="shared" si="13"/>
        <v>0</v>
      </c>
      <c r="L48" s="45">
        <f t="shared" si="14"/>
        <v>0</v>
      </c>
      <c r="M48" s="43">
        <f t="shared" si="15"/>
        <v>0</v>
      </c>
      <c r="N48" s="42" t="str">
        <f t="shared" si="16"/>
        <v/>
      </c>
    </row>
    <row r="49" spans="1:15" ht="15.9" customHeight="1" x14ac:dyDescent="0.25">
      <c r="A49" s="76">
        <v>1</v>
      </c>
      <c r="B49" s="69" t="s">
        <v>23</v>
      </c>
      <c r="C49" s="70"/>
      <c r="D49" s="50"/>
      <c r="E49" s="50">
        <f t="shared" si="9"/>
        <v>0</v>
      </c>
      <c r="F49" s="45" t="str">
        <f t="shared" si="10"/>
        <v xml:space="preserve"> </v>
      </c>
      <c r="G49" s="51" t="s">
        <v>171</v>
      </c>
      <c r="H49" s="45">
        <f t="shared" si="11"/>
        <v>0</v>
      </c>
      <c r="I49" s="45" t="str">
        <f t="shared" si="12"/>
        <v xml:space="preserve"> </v>
      </c>
      <c r="J49" s="45" t="s">
        <v>171</v>
      </c>
      <c r="K49" s="45">
        <f t="shared" si="13"/>
        <v>0</v>
      </c>
      <c r="L49" s="45">
        <f t="shared" si="14"/>
        <v>0</v>
      </c>
      <c r="M49" s="43">
        <f t="shared" si="15"/>
        <v>0</v>
      </c>
      <c r="N49" s="42" t="str">
        <f t="shared" si="16"/>
        <v/>
      </c>
    </row>
    <row r="50" spans="1:15" ht="15.9" customHeight="1" x14ac:dyDescent="0.25">
      <c r="A50" s="76"/>
      <c r="B50" s="69" t="s">
        <v>23</v>
      </c>
      <c r="C50" s="70"/>
      <c r="D50" s="50"/>
      <c r="E50" s="50">
        <f t="shared" si="9"/>
        <v>0</v>
      </c>
      <c r="F50" s="45" t="str">
        <f t="shared" si="10"/>
        <v xml:space="preserve"> </v>
      </c>
      <c r="G50" s="51" t="s">
        <v>171</v>
      </c>
      <c r="H50" s="45">
        <f t="shared" si="11"/>
        <v>0</v>
      </c>
      <c r="I50" s="45" t="str">
        <f t="shared" si="12"/>
        <v xml:space="preserve"> </v>
      </c>
      <c r="J50" s="45" t="s">
        <v>171</v>
      </c>
      <c r="K50" s="45">
        <f t="shared" si="13"/>
        <v>0</v>
      </c>
      <c r="L50" s="45">
        <f t="shared" si="14"/>
        <v>0</v>
      </c>
      <c r="M50" s="43">
        <f t="shared" si="15"/>
        <v>0</v>
      </c>
      <c r="N50" s="42" t="str">
        <f t="shared" si="16"/>
        <v/>
      </c>
    </row>
    <row r="51" spans="1:15" ht="15.9" customHeight="1" x14ac:dyDescent="0.25">
      <c r="A51" s="76">
        <v>7</v>
      </c>
      <c r="B51" s="69" t="s">
        <v>23</v>
      </c>
      <c r="C51" s="70"/>
      <c r="D51" s="50"/>
      <c r="E51" s="50">
        <f t="shared" si="9"/>
        <v>0</v>
      </c>
      <c r="F51" s="45" t="str">
        <f t="shared" si="10"/>
        <v xml:space="preserve"> </v>
      </c>
      <c r="G51" s="51" t="s">
        <v>171</v>
      </c>
      <c r="H51" s="45">
        <f t="shared" si="11"/>
        <v>0</v>
      </c>
      <c r="I51" s="45" t="str">
        <f t="shared" si="12"/>
        <v xml:space="preserve"> </v>
      </c>
      <c r="J51" s="45" t="s">
        <v>171</v>
      </c>
      <c r="K51" s="45">
        <f t="shared" si="13"/>
        <v>0</v>
      </c>
      <c r="L51" s="45">
        <f t="shared" si="14"/>
        <v>0</v>
      </c>
      <c r="M51" s="43">
        <f t="shared" si="15"/>
        <v>0</v>
      </c>
      <c r="N51" s="42" t="str">
        <f t="shared" si="16"/>
        <v/>
      </c>
    </row>
    <row r="52" spans="1:15" ht="15.9" customHeight="1" x14ac:dyDescent="0.25">
      <c r="A52" s="76">
        <f>+A51</f>
        <v>7</v>
      </c>
      <c r="B52" s="69" t="s">
        <v>23</v>
      </c>
      <c r="C52" s="70"/>
      <c r="D52" s="50"/>
      <c r="E52" s="50">
        <f t="shared" si="9"/>
        <v>0</v>
      </c>
      <c r="F52" s="45" t="str">
        <f t="shared" si="10"/>
        <v xml:space="preserve"> </v>
      </c>
      <c r="G52" s="51" t="s">
        <v>171</v>
      </c>
      <c r="H52" s="45">
        <f t="shared" si="11"/>
        <v>0</v>
      </c>
      <c r="I52" s="45" t="str">
        <f t="shared" si="12"/>
        <v xml:space="preserve"> </v>
      </c>
      <c r="J52" s="45" t="s">
        <v>171</v>
      </c>
      <c r="K52" s="45">
        <f t="shared" si="13"/>
        <v>0</v>
      </c>
      <c r="L52" s="45">
        <f t="shared" si="14"/>
        <v>0</v>
      </c>
      <c r="M52" s="43">
        <f t="shared" si="15"/>
        <v>0</v>
      </c>
      <c r="N52" s="42" t="str">
        <f t="shared" si="16"/>
        <v/>
      </c>
      <c r="O52" s="43"/>
    </row>
    <row r="53" spans="1:15" ht="15.9" customHeight="1" x14ac:dyDescent="0.25">
      <c r="A53" s="76">
        <f>+A52</f>
        <v>7</v>
      </c>
      <c r="B53" s="69" t="s">
        <v>23</v>
      </c>
      <c r="C53" s="70"/>
      <c r="D53" s="50"/>
      <c r="E53" s="50">
        <f t="shared" si="9"/>
        <v>0</v>
      </c>
      <c r="F53" s="45" t="str">
        <f t="shared" si="10"/>
        <v xml:space="preserve"> </v>
      </c>
      <c r="G53" s="51" t="s">
        <v>171</v>
      </c>
      <c r="H53" s="45">
        <f t="shared" si="11"/>
        <v>0</v>
      </c>
      <c r="I53" s="45" t="str">
        <f t="shared" si="12"/>
        <v xml:space="preserve"> </v>
      </c>
      <c r="J53" s="45" t="s">
        <v>171</v>
      </c>
      <c r="K53" s="45">
        <f t="shared" si="13"/>
        <v>0</v>
      </c>
      <c r="L53" s="45">
        <f t="shared" si="14"/>
        <v>0</v>
      </c>
      <c r="M53" s="43">
        <f t="shared" si="15"/>
        <v>0</v>
      </c>
      <c r="N53" s="42" t="str">
        <f t="shared" si="16"/>
        <v/>
      </c>
      <c r="O53" s="43"/>
    </row>
    <row r="54" spans="1:15" ht="15.9" customHeight="1" x14ac:dyDescent="0.25">
      <c r="A54" s="76">
        <v>1</v>
      </c>
      <c r="B54" s="69" t="s">
        <v>23</v>
      </c>
      <c r="C54" s="70"/>
      <c r="D54" s="50"/>
      <c r="E54" s="50">
        <f t="shared" si="9"/>
        <v>0</v>
      </c>
      <c r="F54" s="45" t="str">
        <f t="shared" si="10"/>
        <v xml:space="preserve"> </v>
      </c>
      <c r="G54" s="51" t="s">
        <v>171</v>
      </c>
      <c r="H54" s="45">
        <f t="shared" si="11"/>
        <v>0</v>
      </c>
      <c r="I54" s="45" t="str">
        <f t="shared" si="12"/>
        <v xml:space="preserve"> </v>
      </c>
      <c r="J54" s="45" t="s">
        <v>171</v>
      </c>
      <c r="K54" s="45">
        <f t="shared" si="13"/>
        <v>0</v>
      </c>
      <c r="L54" s="45">
        <f t="shared" si="14"/>
        <v>0</v>
      </c>
      <c r="M54" s="43">
        <f t="shared" si="15"/>
        <v>0</v>
      </c>
      <c r="N54" s="42" t="str">
        <f t="shared" si="16"/>
        <v/>
      </c>
    </row>
    <row r="55" spans="1:15" ht="15.9" customHeight="1" x14ac:dyDescent="0.25">
      <c r="A55" s="76">
        <f>+A54</f>
        <v>1</v>
      </c>
      <c r="B55" s="69" t="s">
        <v>23</v>
      </c>
      <c r="C55" s="70"/>
      <c r="D55" s="50"/>
      <c r="E55" s="50">
        <f t="shared" si="9"/>
        <v>0</v>
      </c>
      <c r="F55" s="45" t="str">
        <f t="shared" si="10"/>
        <v xml:space="preserve"> </v>
      </c>
      <c r="G55" s="51" t="s">
        <v>171</v>
      </c>
      <c r="H55" s="45">
        <f t="shared" si="11"/>
        <v>0</v>
      </c>
      <c r="I55" s="45" t="str">
        <f t="shared" si="12"/>
        <v xml:space="preserve"> </v>
      </c>
      <c r="J55" s="45" t="s">
        <v>171</v>
      </c>
      <c r="K55" s="45">
        <f t="shared" si="13"/>
        <v>0</v>
      </c>
      <c r="L55" s="45">
        <f t="shared" si="14"/>
        <v>0</v>
      </c>
      <c r="M55" s="43">
        <f t="shared" si="15"/>
        <v>0</v>
      </c>
      <c r="N55" s="42" t="str">
        <f t="shared" si="16"/>
        <v/>
      </c>
    </row>
    <row r="56" spans="1:15" ht="15.9" customHeight="1" x14ac:dyDescent="0.25">
      <c r="A56" s="76"/>
      <c r="B56" s="69" t="s">
        <v>23</v>
      </c>
      <c r="C56" s="70"/>
      <c r="D56" s="50"/>
      <c r="E56" s="50">
        <f t="shared" si="9"/>
        <v>0</v>
      </c>
      <c r="F56" s="45" t="str">
        <f t="shared" si="10"/>
        <v xml:space="preserve"> </v>
      </c>
      <c r="G56" s="51" t="s">
        <v>171</v>
      </c>
      <c r="H56" s="45">
        <f t="shared" si="11"/>
        <v>0</v>
      </c>
      <c r="I56" s="45" t="str">
        <f t="shared" si="12"/>
        <v xml:space="preserve"> </v>
      </c>
      <c r="J56" s="45" t="s">
        <v>171</v>
      </c>
      <c r="K56" s="45">
        <f t="shared" si="13"/>
        <v>0</v>
      </c>
      <c r="L56" s="45">
        <f t="shared" si="14"/>
        <v>0</v>
      </c>
      <c r="M56" s="43">
        <f t="shared" si="15"/>
        <v>0</v>
      </c>
      <c r="N56" s="42" t="str">
        <f t="shared" si="16"/>
        <v/>
      </c>
    </row>
    <row r="57" spans="1:15" ht="15.9" customHeight="1" x14ac:dyDescent="0.25">
      <c r="A57" s="76"/>
      <c r="B57" s="69" t="s">
        <v>23</v>
      </c>
      <c r="C57" s="70"/>
      <c r="D57" s="50"/>
      <c r="E57" s="50">
        <f t="shared" si="9"/>
        <v>0</v>
      </c>
      <c r="F57" s="45" t="str">
        <f t="shared" si="10"/>
        <v xml:space="preserve"> </v>
      </c>
      <c r="G57" s="51" t="s">
        <v>171</v>
      </c>
      <c r="H57" s="45">
        <f t="shared" si="11"/>
        <v>0</v>
      </c>
      <c r="I57" s="45" t="str">
        <f t="shared" si="12"/>
        <v xml:space="preserve"> </v>
      </c>
      <c r="J57" s="45" t="s">
        <v>171</v>
      </c>
      <c r="K57" s="45">
        <f t="shared" si="13"/>
        <v>0</v>
      </c>
      <c r="L57" s="45">
        <f t="shared" si="14"/>
        <v>0</v>
      </c>
      <c r="M57" s="43">
        <f t="shared" si="15"/>
        <v>0</v>
      </c>
      <c r="N57" s="42" t="str">
        <f t="shared" si="16"/>
        <v/>
      </c>
    </row>
    <row r="58" spans="1:15" ht="15.9" customHeight="1" x14ac:dyDescent="0.25">
      <c r="A58" s="76"/>
      <c r="B58" s="69" t="s">
        <v>23</v>
      </c>
      <c r="C58" s="70"/>
      <c r="D58" s="50"/>
      <c r="E58" s="50">
        <f t="shared" si="9"/>
        <v>0</v>
      </c>
      <c r="F58" s="45" t="str">
        <f t="shared" si="10"/>
        <v xml:space="preserve"> </v>
      </c>
      <c r="G58" s="51" t="s">
        <v>171</v>
      </c>
      <c r="H58" s="45">
        <f t="shared" si="11"/>
        <v>0</v>
      </c>
      <c r="I58" s="45" t="str">
        <f t="shared" si="12"/>
        <v xml:space="preserve"> </v>
      </c>
      <c r="J58" s="45" t="s">
        <v>171</v>
      </c>
      <c r="K58" s="45">
        <f t="shared" si="13"/>
        <v>0</v>
      </c>
      <c r="L58" s="45">
        <f t="shared" si="14"/>
        <v>0</v>
      </c>
      <c r="M58" s="43">
        <f t="shared" si="15"/>
        <v>0</v>
      </c>
      <c r="N58" s="42" t="str">
        <f t="shared" si="16"/>
        <v/>
      </c>
    </row>
    <row r="59" spans="1:15" ht="15.9" customHeight="1" x14ac:dyDescent="0.25">
      <c r="A59" s="76"/>
      <c r="B59" s="69" t="s">
        <v>23</v>
      </c>
      <c r="C59" s="70"/>
      <c r="D59" s="50"/>
      <c r="E59" s="50">
        <f t="shared" si="9"/>
        <v>0</v>
      </c>
      <c r="F59" s="45" t="str">
        <f t="shared" si="10"/>
        <v xml:space="preserve"> </v>
      </c>
      <c r="G59" s="51" t="s">
        <v>171</v>
      </c>
      <c r="H59" s="45">
        <f t="shared" si="11"/>
        <v>0</v>
      </c>
      <c r="I59" s="45" t="str">
        <f t="shared" si="12"/>
        <v xml:space="preserve"> </v>
      </c>
      <c r="J59" s="45" t="s">
        <v>171</v>
      </c>
      <c r="K59" s="45">
        <f t="shared" si="13"/>
        <v>0</v>
      </c>
      <c r="L59" s="45">
        <f t="shared" si="14"/>
        <v>0</v>
      </c>
      <c r="M59" s="43">
        <f t="shared" si="15"/>
        <v>0</v>
      </c>
      <c r="N59" s="42" t="str">
        <f t="shared" si="16"/>
        <v/>
      </c>
    </row>
    <row r="60" spans="1:15" ht="15.9" customHeight="1" x14ac:dyDescent="0.25">
      <c r="A60" s="76">
        <v>1</v>
      </c>
      <c r="B60" s="69" t="s">
        <v>23</v>
      </c>
      <c r="C60" s="70"/>
      <c r="D60" s="50"/>
      <c r="E60" s="50">
        <f t="shared" si="9"/>
        <v>0</v>
      </c>
      <c r="F60" s="45" t="str">
        <f t="shared" si="10"/>
        <v xml:space="preserve"> </v>
      </c>
      <c r="G60" s="51" t="s">
        <v>171</v>
      </c>
      <c r="H60" s="45">
        <f t="shared" si="11"/>
        <v>0</v>
      </c>
      <c r="I60" s="45" t="str">
        <f t="shared" si="12"/>
        <v xml:space="preserve"> </v>
      </c>
      <c r="J60" s="45" t="s">
        <v>171</v>
      </c>
      <c r="K60" s="45">
        <f t="shared" si="13"/>
        <v>0</v>
      </c>
      <c r="L60" s="45">
        <f t="shared" si="14"/>
        <v>0</v>
      </c>
      <c r="M60" s="43">
        <f t="shared" si="15"/>
        <v>0</v>
      </c>
      <c r="N60" s="42" t="str">
        <f t="shared" si="16"/>
        <v/>
      </c>
    </row>
    <row r="61" spans="1:15" ht="15.9" customHeight="1" x14ac:dyDescent="0.25">
      <c r="A61" s="76">
        <v>1</v>
      </c>
      <c r="B61" s="69" t="s">
        <v>23</v>
      </c>
      <c r="C61" s="70"/>
      <c r="D61" s="50"/>
      <c r="E61" s="50">
        <f t="shared" si="9"/>
        <v>0</v>
      </c>
      <c r="F61" s="45" t="str">
        <f t="shared" si="10"/>
        <v xml:space="preserve"> </v>
      </c>
      <c r="G61" s="51" t="s">
        <v>171</v>
      </c>
      <c r="H61" s="45">
        <f t="shared" si="11"/>
        <v>0</v>
      </c>
      <c r="I61" s="45" t="str">
        <f t="shared" si="12"/>
        <v xml:space="preserve"> </v>
      </c>
      <c r="J61" s="45" t="s">
        <v>171</v>
      </c>
      <c r="K61" s="45">
        <f t="shared" si="13"/>
        <v>0</v>
      </c>
      <c r="L61" s="45">
        <f t="shared" si="14"/>
        <v>0</v>
      </c>
      <c r="M61" s="43">
        <f t="shared" si="15"/>
        <v>0</v>
      </c>
      <c r="N61" s="42" t="str">
        <f t="shared" si="16"/>
        <v/>
      </c>
    </row>
    <row r="62" spans="1:15" ht="15.9" customHeight="1" x14ac:dyDescent="0.25">
      <c r="A62" s="76">
        <v>1</v>
      </c>
      <c r="B62" s="69" t="s">
        <v>23</v>
      </c>
      <c r="C62" s="70"/>
      <c r="D62" s="50"/>
      <c r="E62" s="50">
        <f t="shared" si="9"/>
        <v>0</v>
      </c>
      <c r="F62" s="45" t="str">
        <f t="shared" si="10"/>
        <v xml:space="preserve"> </v>
      </c>
      <c r="G62" s="51" t="s">
        <v>171</v>
      </c>
      <c r="H62" s="45">
        <f t="shared" si="11"/>
        <v>0</v>
      </c>
      <c r="I62" s="45" t="str">
        <f t="shared" si="12"/>
        <v xml:space="preserve"> </v>
      </c>
      <c r="J62" s="45" t="s">
        <v>171</v>
      </c>
      <c r="K62" s="45">
        <f t="shared" si="13"/>
        <v>0</v>
      </c>
      <c r="L62" s="45">
        <f t="shared" si="14"/>
        <v>0</v>
      </c>
      <c r="M62" s="43">
        <f t="shared" si="15"/>
        <v>0</v>
      </c>
      <c r="N62" s="42" t="str">
        <f t="shared" si="16"/>
        <v/>
      </c>
    </row>
    <row r="63" spans="1:15" ht="15.9" customHeight="1" x14ac:dyDescent="0.25">
      <c r="A63" s="76">
        <v>2</v>
      </c>
      <c r="B63" s="69" t="s">
        <v>23</v>
      </c>
      <c r="C63" s="70"/>
      <c r="D63" s="50"/>
      <c r="E63" s="50">
        <f t="shared" si="9"/>
        <v>0</v>
      </c>
      <c r="F63" s="45" t="str">
        <f t="shared" si="10"/>
        <v xml:space="preserve"> </v>
      </c>
      <c r="G63" s="51" t="s">
        <v>171</v>
      </c>
      <c r="H63" s="45">
        <f t="shared" si="11"/>
        <v>0</v>
      </c>
      <c r="I63" s="45" t="str">
        <f t="shared" si="12"/>
        <v xml:space="preserve"> </v>
      </c>
      <c r="J63" s="45" t="s">
        <v>171</v>
      </c>
      <c r="K63" s="45">
        <f t="shared" si="13"/>
        <v>0</v>
      </c>
      <c r="L63" s="45">
        <f t="shared" si="14"/>
        <v>0</v>
      </c>
      <c r="M63" s="43">
        <f t="shared" si="15"/>
        <v>0</v>
      </c>
      <c r="N63" s="42" t="str">
        <f t="shared" si="16"/>
        <v/>
      </c>
    </row>
    <row r="64" spans="1:15" ht="15.9" customHeight="1" x14ac:dyDescent="0.25">
      <c r="A64" s="76">
        <f>+A63</f>
        <v>2</v>
      </c>
      <c r="B64" s="69" t="s">
        <v>23</v>
      </c>
      <c r="C64" s="70"/>
      <c r="D64" s="50"/>
      <c r="E64" s="50">
        <f t="shared" si="9"/>
        <v>0</v>
      </c>
      <c r="F64" s="45" t="str">
        <f t="shared" si="10"/>
        <v xml:space="preserve"> </v>
      </c>
      <c r="G64" s="51" t="s">
        <v>171</v>
      </c>
      <c r="H64" s="45">
        <f t="shared" si="11"/>
        <v>0</v>
      </c>
      <c r="I64" s="45" t="str">
        <f t="shared" si="12"/>
        <v xml:space="preserve"> </v>
      </c>
      <c r="J64" s="45" t="s">
        <v>171</v>
      </c>
      <c r="K64" s="45">
        <f t="shared" si="13"/>
        <v>0</v>
      </c>
      <c r="L64" s="45">
        <f t="shared" si="14"/>
        <v>0</v>
      </c>
      <c r="M64" s="43">
        <f t="shared" si="15"/>
        <v>0</v>
      </c>
      <c r="N64" s="42" t="str">
        <f t="shared" si="16"/>
        <v/>
      </c>
      <c r="O64" s="43"/>
    </row>
    <row r="65" spans="1:14" ht="15.9" customHeight="1" x14ac:dyDescent="0.25">
      <c r="A65" s="76"/>
      <c r="B65" s="69" t="s">
        <v>23</v>
      </c>
      <c r="C65" s="70"/>
      <c r="D65" s="50"/>
      <c r="E65" s="50">
        <f t="shared" si="9"/>
        <v>0</v>
      </c>
      <c r="F65" s="45" t="str">
        <f t="shared" si="10"/>
        <v xml:space="preserve"> </v>
      </c>
      <c r="G65" s="51" t="s">
        <v>171</v>
      </c>
      <c r="H65" s="45">
        <f t="shared" si="11"/>
        <v>0</v>
      </c>
      <c r="I65" s="45" t="str">
        <f t="shared" si="12"/>
        <v xml:space="preserve"> </v>
      </c>
      <c r="J65" s="45" t="s">
        <v>171</v>
      </c>
      <c r="K65" s="45">
        <f t="shared" si="13"/>
        <v>0</v>
      </c>
      <c r="L65" s="45">
        <f t="shared" si="14"/>
        <v>0</v>
      </c>
      <c r="M65" s="43">
        <f t="shared" si="15"/>
        <v>0</v>
      </c>
      <c r="N65" s="42" t="str">
        <f t="shared" si="16"/>
        <v/>
      </c>
    </row>
    <row r="66" spans="1:14" ht="15.9" customHeight="1" x14ac:dyDescent="0.25">
      <c r="A66" s="76">
        <v>1</v>
      </c>
      <c r="B66" s="69" t="s">
        <v>23</v>
      </c>
      <c r="C66" s="70"/>
      <c r="D66" s="50"/>
      <c r="E66" s="50">
        <f t="shared" si="9"/>
        <v>0</v>
      </c>
      <c r="F66" s="45" t="str">
        <f t="shared" si="10"/>
        <v xml:space="preserve"> </v>
      </c>
      <c r="G66" s="51" t="s">
        <v>171</v>
      </c>
      <c r="H66" s="45">
        <f t="shared" si="11"/>
        <v>0</v>
      </c>
      <c r="I66" s="45" t="str">
        <f t="shared" si="12"/>
        <v xml:space="preserve"> </v>
      </c>
      <c r="J66" s="45" t="s">
        <v>171</v>
      </c>
      <c r="K66" s="45">
        <f t="shared" si="13"/>
        <v>0</v>
      </c>
      <c r="L66" s="45">
        <f t="shared" si="14"/>
        <v>0</v>
      </c>
      <c r="M66" s="43">
        <f t="shared" si="15"/>
        <v>0</v>
      </c>
      <c r="N66" s="42" t="str">
        <f t="shared" si="16"/>
        <v/>
      </c>
    </row>
    <row r="67" spans="1:14" ht="15.9" customHeight="1" x14ac:dyDescent="0.25">
      <c r="A67" s="76">
        <v>4</v>
      </c>
      <c r="B67" s="72" t="s">
        <v>2</v>
      </c>
      <c r="C67" s="99" t="s">
        <v>3</v>
      </c>
      <c r="D67" s="50"/>
      <c r="E67" s="53">
        <f>SUM(E43:E66)</f>
        <v>35307.499200000006</v>
      </c>
      <c r="F67" s="53">
        <f t="shared" ref="F67:M67" si="17">SUM(F43:F66)</f>
        <v>0</v>
      </c>
      <c r="G67" s="53"/>
      <c r="H67" s="53">
        <f t="shared" si="17"/>
        <v>2701.0236887999999</v>
      </c>
      <c r="I67" s="53">
        <f t="shared" si="17"/>
        <v>0</v>
      </c>
      <c r="J67" s="53"/>
      <c r="K67" s="53">
        <f t="shared" si="17"/>
        <v>353.07499200000001</v>
      </c>
      <c r="L67" s="53">
        <f t="shared" si="17"/>
        <v>140</v>
      </c>
      <c r="M67" s="53">
        <f t="shared" si="17"/>
        <v>38501.5978808</v>
      </c>
      <c r="N67" s="42" t="str">
        <f t="shared" si="16"/>
        <v>*</v>
      </c>
    </row>
    <row r="68" spans="1:14" ht="15.9" customHeight="1" x14ac:dyDescent="0.25">
      <c r="A68" s="76">
        <f>+A67</f>
        <v>4</v>
      </c>
      <c r="B68" s="77"/>
      <c r="D68" s="50"/>
      <c r="E68" s="45"/>
      <c r="F68" s="43"/>
      <c r="N68" s="42" t="str">
        <f>IF(N67="*","*","")</f>
        <v>*</v>
      </c>
    </row>
    <row r="69" spans="1:14" ht="15.9" customHeight="1" x14ac:dyDescent="0.25">
      <c r="A69" s="73"/>
      <c r="B69" s="67" t="s">
        <v>24</v>
      </c>
      <c r="D69" s="50"/>
      <c r="E69" s="50">
        <f>D69*Inf</f>
        <v>0</v>
      </c>
      <c r="F69" s="45" t="str">
        <f>IF(G69="Y",E69*$F$5," ")</f>
        <v xml:space="preserve"> </v>
      </c>
      <c r="G69" s="51" t="s">
        <v>171</v>
      </c>
      <c r="H69" s="45">
        <f>+$E69*$H$5</f>
        <v>0</v>
      </c>
      <c r="I69" s="45" t="str">
        <f>IF(J69="Y",3941," ")</f>
        <v xml:space="preserve"> </v>
      </c>
      <c r="J69" s="45" t="s">
        <v>171</v>
      </c>
      <c r="K69" s="45">
        <f>+$E69*$I$5</f>
        <v>0</v>
      </c>
      <c r="L69" s="45">
        <f>IF(E69&gt;7000,7000*$K$5,E69*$K$5)</f>
        <v>0</v>
      </c>
      <c r="M69" s="43">
        <f>SUM(H69:L69,E69:F69)</f>
        <v>0</v>
      </c>
      <c r="N69" s="42" t="str">
        <f>IF(M69&gt;0.49,"*","")</f>
        <v/>
      </c>
    </row>
    <row r="70" spans="1:14" ht="15.9" customHeight="1" x14ac:dyDescent="0.25">
      <c r="A70" s="73">
        <v>1</v>
      </c>
      <c r="B70" s="67" t="s">
        <v>24</v>
      </c>
      <c r="D70" s="50"/>
      <c r="E70" s="50">
        <f>D70*Inf</f>
        <v>0</v>
      </c>
      <c r="F70" s="45" t="str">
        <f>IF(G70="Y",E70*$F$5," ")</f>
        <v xml:space="preserve"> </v>
      </c>
      <c r="G70" s="51" t="s">
        <v>171</v>
      </c>
      <c r="H70" s="45">
        <f>+$E70*$H$5</f>
        <v>0</v>
      </c>
      <c r="I70" s="45" t="str">
        <f>IF(J70="Y",3941," ")</f>
        <v xml:space="preserve"> </v>
      </c>
      <c r="J70" s="45" t="s">
        <v>171</v>
      </c>
      <c r="K70" s="45">
        <f>+$E70*$I$5</f>
        <v>0</v>
      </c>
      <c r="L70" s="45">
        <f>IF(E70&gt;7000,7000*$K$5,E70*$K$5)</f>
        <v>0</v>
      </c>
      <c r="M70" s="43">
        <f>SUM(H70:L70,E70:F70)</f>
        <v>0</v>
      </c>
      <c r="N70" s="42" t="str">
        <f>IF(M70&gt;0.49,"*","")</f>
        <v/>
      </c>
    </row>
    <row r="71" spans="1:14" ht="15.9" customHeight="1" x14ac:dyDescent="0.25">
      <c r="A71" s="75">
        <f>+A70</f>
        <v>1</v>
      </c>
      <c r="B71" s="67" t="s">
        <v>24</v>
      </c>
      <c r="C71" s="70"/>
      <c r="D71" s="50"/>
      <c r="E71" s="50">
        <f>D71*Inf</f>
        <v>0</v>
      </c>
      <c r="F71" s="45" t="str">
        <f>IF(G71="Y",E71*$F$5," ")</f>
        <v xml:space="preserve"> </v>
      </c>
      <c r="G71" s="51" t="s">
        <v>171</v>
      </c>
      <c r="H71" s="45">
        <f>+$E71*$H$5</f>
        <v>0</v>
      </c>
      <c r="I71" s="45" t="str">
        <f>IF(J71="Y",3941," ")</f>
        <v xml:space="preserve"> </v>
      </c>
      <c r="J71" s="45" t="s">
        <v>171</v>
      </c>
      <c r="K71" s="45">
        <f>+$E71*$I$5</f>
        <v>0</v>
      </c>
      <c r="L71" s="45">
        <f>IF(E71&gt;7000,7000*$K$5,E71*$K$5)</f>
        <v>0</v>
      </c>
      <c r="M71" s="43">
        <f>SUM(H71:L71,E71:F71)</f>
        <v>0</v>
      </c>
      <c r="N71" s="42" t="str">
        <f>IF(M71&gt;0.49,"*","")</f>
        <v/>
      </c>
    </row>
    <row r="72" spans="1:14" ht="26.25" customHeight="1" x14ac:dyDescent="0.25">
      <c r="A72" s="56">
        <f>SUM(A71:A71,A68:A68,A64:A64,A55,A52:A52,A45,A41:A41,A38:A38,A33:A33,A27)</f>
        <v>96</v>
      </c>
      <c r="B72" s="72" t="s">
        <v>4</v>
      </c>
      <c r="C72" s="99" t="s">
        <v>5</v>
      </c>
      <c r="D72" s="50"/>
      <c r="E72" s="53">
        <f>SUM(E69:E71)</f>
        <v>0</v>
      </c>
      <c r="F72" s="53">
        <f>SUM(F69:F71)</f>
        <v>0</v>
      </c>
      <c r="G72" s="53"/>
      <c r="H72" s="53">
        <f>SUM(H69:H71)</f>
        <v>0</v>
      </c>
      <c r="I72" s="53">
        <f>SUM(I69:I71)</f>
        <v>0</v>
      </c>
      <c r="J72" s="53"/>
      <c r="K72" s="53">
        <f>SUM(K69:K71)</f>
        <v>0</v>
      </c>
      <c r="L72" s="53">
        <f>SUM(L69:L71)</f>
        <v>0</v>
      </c>
      <c r="M72" s="53">
        <f>SUM(M69:M71)</f>
        <v>0</v>
      </c>
      <c r="N72" s="42" t="str">
        <f>IF(M72&gt;0.49,"*","")</f>
        <v/>
      </c>
    </row>
    <row r="73" spans="1:14" ht="12.75" customHeight="1" x14ac:dyDescent="0.25">
      <c r="B73" s="77"/>
      <c r="D73" s="50"/>
      <c r="E73" s="45"/>
      <c r="F73" s="43"/>
      <c r="N73" s="42" t="str">
        <f>IF(N72="*","*","")</f>
        <v/>
      </c>
    </row>
    <row r="74" spans="1:14" ht="27" customHeight="1" x14ac:dyDescent="0.25">
      <c r="B74" s="67" t="s">
        <v>22</v>
      </c>
      <c r="D74" s="50"/>
      <c r="E74" s="50">
        <f>D74*Inf</f>
        <v>0</v>
      </c>
      <c r="F74" s="45" t="str">
        <f>IF(G74="Y",E74*$F$5," ")</f>
        <v xml:space="preserve"> </v>
      </c>
      <c r="G74" s="51" t="s">
        <v>171</v>
      </c>
      <c r="H74" s="45">
        <f>+$E74*$H$5</f>
        <v>0</v>
      </c>
      <c r="I74" s="45" t="str">
        <f>IF(J74="Y",3941," ")</f>
        <v xml:space="preserve"> </v>
      </c>
      <c r="J74" s="45" t="s">
        <v>171</v>
      </c>
      <c r="K74" s="45">
        <f>+$E74*$I$5</f>
        <v>0</v>
      </c>
      <c r="L74" s="45">
        <f>IF(E74&gt;7000,7000*$K$5,E74*$K$5)</f>
        <v>0</v>
      </c>
      <c r="M74" s="43">
        <f>SUM(H74:L74,E74:F74)</f>
        <v>0</v>
      </c>
      <c r="N74" s="42" t="str">
        <f>IF(M74&gt;0.49,"*","")</f>
        <v/>
      </c>
    </row>
    <row r="75" spans="1:14" ht="12.75" customHeight="1" x14ac:dyDescent="0.25">
      <c r="B75" s="72" t="s">
        <v>6</v>
      </c>
      <c r="C75" s="99" t="s">
        <v>7</v>
      </c>
      <c r="D75" s="50"/>
      <c r="E75" s="53">
        <f>SUM(E74)</f>
        <v>0</v>
      </c>
      <c r="F75" s="53">
        <f>SUM(F74)</f>
        <v>0</v>
      </c>
      <c r="H75" s="53">
        <f>SUM(H74)</f>
        <v>0</v>
      </c>
      <c r="I75" s="53">
        <f>SUM(I74)</f>
        <v>0</v>
      </c>
      <c r="J75" s="53"/>
      <c r="K75" s="53">
        <f>SUM(K74)</f>
        <v>0</v>
      </c>
      <c r="L75" s="53">
        <f>SUM(L74)</f>
        <v>0</v>
      </c>
      <c r="M75" s="53">
        <f>SUM(M74)</f>
        <v>0</v>
      </c>
      <c r="N75" s="42" t="str">
        <f>IF(M75&gt;0.49,"*","")</f>
        <v/>
      </c>
    </row>
    <row r="76" spans="1:14" ht="20.25" customHeight="1" x14ac:dyDescent="0.25">
      <c r="B76" s="77"/>
      <c r="D76" s="50"/>
      <c r="E76" s="45"/>
      <c r="F76" s="43"/>
      <c r="N76" s="42" t="str">
        <f>IF(N75="*","*","")</f>
        <v/>
      </c>
    </row>
    <row r="77" spans="1:14" ht="27" customHeight="1" x14ac:dyDescent="0.25">
      <c r="B77" s="67" t="s">
        <v>237</v>
      </c>
      <c r="C77" s="78" t="s">
        <v>188</v>
      </c>
      <c r="D77" s="50">
        <f>725.4*24</f>
        <v>17409.599999999999</v>
      </c>
      <c r="E77" s="50">
        <f>D77*Inf</f>
        <v>17583.696</v>
      </c>
      <c r="F77" s="45" t="str">
        <f>IF(G77="Y",E77*$F$5," ")</f>
        <v xml:space="preserve"> </v>
      </c>
      <c r="G77" s="51" t="s">
        <v>171</v>
      </c>
      <c r="H77" s="45">
        <f>+$E77*$H$5</f>
        <v>1345.152744</v>
      </c>
      <c r="I77" s="45" t="str">
        <f>IF(J77="Y",3941," ")</f>
        <v xml:space="preserve"> </v>
      </c>
      <c r="J77" s="45" t="s">
        <v>171</v>
      </c>
      <c r="K77" s="45">
        <f>+$E77*$I$5</f>
        <v>175.83696</v>
      </c>
      <c r="L77" s="45">
        <f>IF(E77&gt;7000,7000*$K$5,E77*$K$5)</f>
        <v>70</v>
      </c>
      <c r="M77" s="43">
        <f>SUM(H77:L77,E77:F77)</f>
        <v>19174.685704</v>
      </c>
      <c r="N77" s="42" t="str">
        <f>IF(M77&gt;0.49,"*","")</f>
        <v>*</v>
      </c>
    </row>
    <row r="78" spans="1:14" ht="12.75" customHeight="1" x14ac:dyDescent="0.25">
      <c r="B78" s="97" t="s">
        <v>238</v>
      </c>
      <c r="C78" s="99" t="s">
        <v>239</v>
      </c>
      <c r="D78" s="50"/>
      <c r="E78" s="53">
        <f>SUM(E77)</f>
        <v>17583.696</v>
      </c>
      <c r="F78" s="53">
        <f>SUM(F77)</f>
        <v>0</v>
      </c>
      <c r="H78" s="53">
        <f>SUM(H77)</f>
        <v>1345.152744</v>
      </c>
      <c r="I78" s="53">
        <f>SUM(I77)</f>
        <v>0</v>
      </c>
      <c r="J78" s="53"/>
      <c r="K78" s="53">
        <f>SUM(K77)</f>
        <v>175.83696</v>
      </c>
      <c r="L78" s="53">
        <f>SUM(L77)</f>
        <v>70</v>
      </c>
      <c r="M78" s="53">
        <f>SUM(M77)</f>
        <v>19174.685704</v>
      </c>
      <c r="N78" s="42" t="str">
        <f>IF(M78&gt;0.49,"*","")</f>
        <v>*</v>
      </c>
    </row>
    <row r="79" spans="1:14" ht="20.25" customHeight="1" x14ac:dyDescent="0.25">
      <c r="B79" s="77"/>
      <c r="D79" s="50"/>
      <c r="E79" s="45"/>
      <c r="F79" s="43"/>
      <c r="N79" s="42" t="str">
        <f>IF(N78="*","*","")</f>
        <v>*</v>
      </c>
    </row>
    <row r="80" spans="1:14" ht="12.75" customHeight="1" x14ac:dyDescent="0.25">
      <c r="B80" s="69" t="s">
        <v>224</v>
      </c>
      <c r="C80" s="104" t="s">
        <v>226</v>
      </c>
      <c r="D80" s="105">
        <f>335.41*24</f>
        <v>8049.84</v>
      </c>
      <c r="E80" s="50">
        <f>D80*Inf</f>
        <v>8130.3384000000005</v>
      </c>
      <c r="F80" s="45" t="str">
        <f>IF(G80="Y",E80*$F$5," ")</f>
        <v xml:space="preserve"> </v>
      </c>
      <c r="G80" s="51" t="s">
        <v>171</v>
      </c>
      <c r="H80" s="45">
        <f>+$E80*$H$5</f>
        <v>621.97088760000008</v>
      </c>
      <c r="I80" s="45" t="str">
        <f>IF(J80="Y",3941," ")</f>
        <v xml:space="preserve"> </v>
      </c>
      <c r="J80" s="45" t="s">
        <v>171</v>
      </c>
      <c r="K80" s="45">
        <f>+$E80*$I$5</f>
        <v>81.303384000000008</v>
      </c>
      <c r="L80" s="45">
        <f>IF(E80&gt;7000,7000*$K$5,E80*$K$5)</f>
        <v>70</v>
      </c>
      <c r="M80" s="43">
        <f>SUM(H80:L80,E80:F80)</f>
        <v>8903.6126715999999</v>
      </c>
      <c r="N80" s="42" t="str">
        <f>IF(M80&gt;0.49,"*","")</f>
        <v>*</v>
      </c>
    </row>
    <row r="81" spans="2:14" ht="14.25" customHeight="1" x14ac:dyDescent="0.25">
      <c r="B81" s="69" t="s">
        <v>224</v>
      </c>
      <c r="C81" s="104" t="s">
        <v>187</v>
      </c>
      <c r="D81" s="105">
        <f>364.58*24</f>
        <v>8749.92</v>
      </c>
      <c r="E81" s="50">
        <f>D81*Inf</f>
        <v>8837.4192000000003</v>
      </c>
      <c r="F81" s="45" t="str">
        <f>IF(G81="Y",E81*$F$5," ")</f>
        <v xml:space="preserve"> </v>
      </c>
      <c r="G81" s="51" t="s">
        <v>171</v>
      </c>
      <c r="H81" s="45">
        <f>+$E81*$H$5</f>
        <v>676.06256880000001</v>
      </c>
      <c r="I81" s="45" t="str">
        <f>IF(J81="Y",3941," ")</f>
        <v xml:space="preserve"> </v>
      </c>
      <c r="J81" s="45" t="s">
        <v>171</v>
      </c>
      <c r="K81" s="45">
        <f>+$E81*$I$5</f>
        <v>88.374192000000008</v>
      </c>
      <c r="L81" s="45">
        <f>IF(E81&gt;7000,7000*$K$5,E81*$K$5)</f>
        <v>70</v>
      </c>
      <c r="M81" s="43">
        <f>SUM(H81:L81,E81:F81)</f>
        <v>9671.8559607999996</v>
      </c>
      <c r="N81" s="42" t="str">
        <f>IF(M81&gt;0.49,"*","")</f>
        <v>*</v>
      </c>
    </row>
    <row r="82" spans="2:14" ht="12.75" customHeight="1" x14ac:dyDescent="0.25">
      <c r="B82" s="97" t="s">
        <v>225</v>
      </c>
      <c r="C82" s="99" t="s">
        <v>228</v>
      </c>
      <c r="D82" s="50"/>
      <c r="E82" s="53">
        <f>SUM(E80:E81)</f>
        <v>16967.757600000001</v>
      </c>
      <c r="F82" s="53">
        <f>SUM(F80:F81)</f>
        <v>0</v>
      </c>
      <c r="H82" s="53">
        <f>SUM(H80:H81)</f>
        <v>1298.0334564</v>
      </c>
      <c r="I82" s="53">
        <f>SUM(I80:I81)</f>
        <v>0</v>
      </c>
      <c r="J82" s="53"/>
      <c r="K82" s="53">
        <f>SUM(K80:K81)</f>
        <v>169.67757600000002</v>
      </c>
      <c r="L82" s="53">
        <f>SUM(L80:L81)</f>
        <v>140</v>
      </c>
      <c r="M82" s="53">
        <f>SUM(M80:M81)</f>
        <v>18575.468632399999</v>
      </c>
      <c r="N82" s="42" t="str">
        <f>IF(M82&gt;0.49,"*","")</f>
        <v>*</v>
      </c>
    </row>
    <row r="83" spans="2:14" ht="12.75" customHeight="1" x14ac:dyDescent="0.25">
      <c r="B83" s="77"/>
      <c r="D83" s="50"/>
      <c r="E83" s="45"/>
      <c r="F83" s="43"/>
      <c r="N83" s="42" t="str">
        <f>IF(N82="*","*","")</f>
        <v>*</v>
      </c>
    </row>
    <row r="84" spans="2:14" ht="12.75" customHeight="1" x14ac:dyDescent="0.25">
      <c r="B84" s="69" t="s">
        <v>26</v>
      </c>
      <c r="C84" s="78" t="s">
        <v>236</v>
      </c>
      <c r="D84" s="50">
        <f>2333.33*24</f>
        <v>55999.92</v>
      </c>
      <c r="E84" s="50">
        <f>D84*Inf</f>
        <v>56559.919199999997</v>
      </c>
      <c r="F84" s="45">
        <f>IF(G84="Y",E84*$F$5," ")</f>
        <v>848.39878799999997</v>
      </c>
      <c r="G84" s="51" t="s">
        <v>173</v>
      </c>
      <c r="H84" s="45">
        <f>+$E84*$H$5</f>
        <v>4326.8338187999998</v>
      </c>
      <c r="I84" s="45">
        <f>IF(J84="Y",3941," ")</f>
        <v>3941</v>
      </c>
      <c r="J84" s="45" t="s">
        <v>173</v>
      </c>
      <c r="K84" s="45">
        <f>+$E84*$I$5</f>
        <v>565.59919200000002</v>
      </c>
      <c r="L84" s="45">
        <f>IF(E84&gt;7000,7000*$K$5,E84*$K$5)</f>
        <v>70</v>
      </c>
      <c r="M84" s="43">
        <f>SUM(H84:L84,E84:F84)</f>
        <v>66311.750998799995</v>
      </c>
      <c r="N84" s="42" t="str">
        <f>IF(M84&gt;0.49,"*","")</f>
        <v>*</v>
      </c>
    </row>
    <row r="85" spans="2:14" ht="14.25" customHeight="1" x14ac:dyDescent="0.25">
      <c r="B85" s="69" t="s">
        <v>26</v>
      </c>
      <c r="D85" s="50"/>
      <c r="E85" s="50">
        <f>D85*Inf</f>
        <v>0</v>
      </c>
      <c r="F85" s="45" t="str">
        <f>IF(G85="Y",E85*$F$5," ")</f>
        <v xml:space="preserve"> </v>
      </c>
      <c r="G85" s="51" t="s">
        <v>171</v>
      </c>
      <c r="H85" s="45">
        <f>+$E85*$H$5</f>
        <v>0</v>
      </c>
      <c r="I85" s="45" t="str">
        <f>IF(J85="Y",3941," ")</f>
        <v xml:space="preserve"> </v>
      </c>
      <c r="J85" s="45" t="s">
        <v>171</v>
      </c>
      <c r="K85" s="45">
        <f>+$E85*$I$5</f>
        <v>0</v>
      </c>
      <c r="L85" s="45">
        <f>IF(E85&gt;7000,7000*$K$5,E85*$K$5)</f>
        <v>0</v>
      </c>
      <c r="M85" s="43">
        <f>SUM(H85:L85,E85:F85)</f>
        <v>0</v>
      </c>
      <c r="N85" s="42" t="str">
        <f>IF(M85&gt;0.49,"*","")</f>
        <v/>
      </c>
    </row>
    <row r="86" spans="2:14" ht="12.75" customHeight="1" x14ac:dyDescent="0.25">
      <c r="B86" s="72" t="s">
        <v>8</v>
      </c>
      <c r="C86" s="99" t="s">
        <v>9</v>
      </c>
      <c r="D86" s="50"/>
      <c r="E86" s="53">
        <f>SUM(E84:E85)</f>
        <v>56559.919199999997</v>
      </c>
      <c r="F86" s="53">
        <f>SUM(F84:F85)</f>
        <v>848.39878799999997</v>
      </c>
      <c r="H86" s="53">
        <f>SUM(H84:H85)</f>
        <v>4326.8338187999998</v>
      </c>
      <c r="I86" s="53">
        <f>SUM(I84:I85)</f>
        <v>3941</v>
      </c>
      <c r="J86" s="53"/>
      <c r="K86" s="53">
        <f>SUM(K84:K85)</f>
        <v>565.59919200000002</v>
      </c>
      <c r="L86" s="53">
        <f>SUM(L84:L85)</f>
        <v>70</v>
      </c>
      <c r="M86" s="53">
        <f>SUM(M84:M85)</f>
        <v>66311.750998799995</v>
      </c>
      <c r="N86" s="42" t="str">
        <f>IF(M86&gt;0.49,"*","")</f>
        <v>*</v>
      </c>
    </row>
    <row r="87" spans="2:14" ht="12.75" customHeight="1" x14ac:dyDescent="0.25">
      <c r="B87" s="77"/>
      <c r="D87" s="50"/>
      <c r="E87" s="45"/>
      <c r="F87" s="43"/>
      <c r="N87" s="42" t="str">
        <f>IF(N86="*","*","")</f>
        <v>*</v>
      </c>
    </row>
    <row r="88" spans="2:14" ht="12.75" customHeight="1" x14ac:dyDescent="0.25">
      <c r="B88" s="67" t="s">
        <v>20</v>
      </c>
      <c r="C88" s="104" t="s">
        <v>185</v>
      </c>
      <c r="D88" s="105">
        <f>290*24</f>
        <v>6960</v>
      </c>
      <c r="E88" s="50">
        <f>D88*Inf</f>
        <v>7029.6</v>
      </c>
      <c r="F88" s="45" t="str">
        <f>IF(G88="Y",E88*$F$5," ")</f>
        <v xml:space="preserve"> </v>
      </c>
      <c r="G88" s="51" t="s">
        <v>171</v>
      </c>
      <c r="H88" s="45">
        <f>+$E88*$H$5</f>
        <v>537.76440000000002</v>
      </c>
      <c r="I88" s="45" t="str">
        <f>IF(J88="Y",3941," ")</f>
        <v xml:space="preserve"> </v>
      </c>
      <c r="J88" s="45" t="s">
        <v>171</v>
      </c>
      <c r="K88" s="45">
        <f>+$E88*$I$5</f>
        <v>70.296000000000006</v>
      </c>
      <c r="L88" s="45">
        <f>IF(E88&gt;7000,7000*$K$5,E88*$K$5)</f>
        <v>70</v>
      </c>
      <c r="M88" s="43">
        <f>SUM(H88:L88,E88:F88)</f>
        <v>7707.6604000000007</v>
      </c>
      <c r="N88" s="42" t="str">
        <f>IF(M88&gt;0.49,"*","")</f>
        <v>*</v>
      </c>
    </row>
    <row r="89" spans="2:14" ht="12.75" customHeight="1" x14ac:dyDescent="0.25">
      <c r="B89" s="69" t="s">
        <v>20</v>
      </c>
      <c r="C89" s="106" t="s">
        <v>240</v>
      </c>
      <c r="D89" s="105">
        <f>466.66*24</f>
        <v>11199.84</v>
      </c>
      <c r="E89" s="50">
        <f>D89*Inf</f>
        <v>11311.838400000001</v>
      </c>
      <c r="F89" s="45" t="str">
        <f>IF(G89="Y",E89*$F$5," ")</f>
        <v xml:space="preserve"> </v>
      </c>
      <c r="G89" s="51" t="s">
        <v>171</v>
      </c>
      <c r="H89" s="45">
        <f>+$E89*$H$5</f>
        <v>865.35563760000002</v>
      </c>
      <c r="I89" s="45" t="str">
        <f>IF(J89="Y",3941," ")</f>
        <v xml:space="preserve"> </v>
      </c>
      <c r="J89" s="45" t="s">
        <v>171</v>
      </c>
      <c r="K89" s="45">
        <f>+$E89*$I$5</f>
        <v>113.11838400000001</v>
      </c>
      <c r="L89" s="45">
        <f>IF(E89&gt;7000,7000*$K$5,E89*$K$5)</f>
        <v>70</v>
      </c>
      <c r="M89" s="43">
        <f>SUM(H89:L89,E89:F89)</f>
        <v>12360.3124216</v>
      </c>
      <c r="N89" s="42" t="str">
        <f>IF(M89&gt;0.49,"*","")</f>
        <v>*</v>
      </c>
    </row>
    <row r="90" spans="2:14" ht="12.75" customHeight="1" x14ac:dyDescent="0.25">
      <c r="B90" s="69" t="s">
        <v>20</v>
      </c>
      <c r="C90" s="70"/>
      <c r="D90" s="50"/>
      <c r="E90" s="50">
        <f>D90*Inf</f>
        <v>0</v>
      </c>
      <c r="F90" s="45" t="str">
        <f>IF(G90="Y",E90*$F$5," ")</f>
        <v xml:space="preserve"> </v>
      </c>
      <c r="G90" s="51" t="s">
        <v>171</v>
      </c>
      <c r="H90" s="45">
        <f>+$E90*$H$5</f>
        <v>0</v>
      </c>
      <c r="I90" s="45" t="str">
        <f>IF(J90="Y",3941," ")</f>
        <v xml:space="preserve"> </v>
      </c>
      <c r="J90" s="45" t="s">
        <v>171</v>
      </c>
      <c r="K90" s="45">
        <f>+$E90*$I$5</f>
        <v>0</v>
      </c>
      <c r="L90" s="45">
        <f>IF(E90&gt;7000,7000*$K$5,E90*$K$5)</f>
        <v>0</v>
      </c>
      <c r="M90" s="43">
        <f>SUM(H90:L90,E90:F90)</f>
        <v>0</v>
      </c>
      <c r="N90" s="42" t="str">
        <f>IF(M90&gt;0.49,"*","")</f>
        <v/>
      </c>
    </row>
    <row r="91" spans="2:14" ht="12.75" customHeight="1" x14ac:dyDescent="0.25">
      <c r="B91" s="72" t="s">
        <v>10</v>
      </c>
      <c r="C91" s="99" t="s">
        <v>11</v>
      </c>
      <c r="D91" s="50"/>
      <c r="E91" s="53">
        <f>SUM(E88:E90)</f>
        <v>18341.438399999999</v>
      </c>
      <c r="F91" s="53">
        <f t="shared" ref="F91:M91" si="18">SUM(F88:F90)</f>
        <v>0</v>
      </c>
      <c r="G91" s="53"/>
      <c r="H91" s="53">
        <f t="shared" si="18"/>
        <v>1403.1200376000002</v>
      </c>
      <c r="I91" s="53">
        <f t="shared" si="18"/>
        <v>0</v>
      </c>
      <c r="J91" s="53"/>
      <c r="K91" s="53">
        <f t="shared" si="18"/>
        <v>183.41438400000001</v>
      </c>
      <c r="L91" s="53">
        <f t="shared" si="18"/>
        <v>140</v>
      </c>
      <c r="M91" s="53">
        <f t="shared" si="18"/>
        <v>20067.9728216</v>
      </c>
      <c r="N91" s="42" t="str">
        <f>IF(M91&gt;0.49,"*","")</f>
        <v>*</v>
      </c>
    </row>
    <row r="92" spans="2:14" ht="12.75" customHeight="1" x14ac:dyDescent="0.25">
      <c r="B92" s="77"/>
      <c r="D92" s="50"/>
      <c r="E92" s="45"/>
      <c r="F92" s="43"/>
      <c r="N92" s="42" t="str">
        <f>IF(N91="*","*","")</f>
        <v>*</v>
      </c>
    </row>
    <row r="93" spans="2:14" ht="12.75" customHeight="1" x14ac:dyDescent="0.25">
      <c r="B93" s="69" t="s">
        <v>25</v>
      </c>
      <c r="C93" s="106" t="s">
        <v>219</v>
      </c>
      <c r="D93" s="105">
        <f>287.1*24</f>
        <v>6890.4000000000005</v>
      </c>
      <c r="E93" s="50">
        <f>D93*Inf</f>
        <v>6959.304000000001</v>
      </c>
      <c r="F93" s="45" t="str">
        <f>IF(G93="Y",E93*$F$5," ")</f>
        <v xml:space="preserve"> </v>
      </c>
      <c r="G93" s="51" t="s">
        <v>171</v>
      </c>
      <c r="H93" s="45">
        <f>+$E93*$H$5</f>
        <v>532.3867560000001</v>
      </c>
      <c r="I93" s="45" t="str">
        <f>IF(J93="Y",3941," ")</f>
        <v xml:space="preserve"> </v>
      </c>
      <c r="J93" s="45" t="s">
        <v>171</v>
      </c>
      <c r="K93" s="45">
        <f>+$E93*$I$5</f>
        <v>69.593040000000016</v>
      </c>
      <c r="L93" s="45">
        <f>IF(E93&gt;7000,7000*$K$5,E93*$K$5)</f>
        <v>69.593040000000016</v>
      </c>
      <c r="M93" s="43">
        <f>SUM(H93:L93,E93:F93)</f>
        <v>7630.8768360000013</v>
      </c>
      <c r="N93" s="42" t="str">
        <f>IF(M93&gt;0.49,"*","")</f>
        <v>*</v>
      </c>
    </row>
    <row r="94" spans="2:14" ht="12.75" customHeight="1" x14ac:dyDescent="0.25">
      <c r="B94" s="69" t="s">
        <v>25</v>
      </c>
      <c r="C94" s="106" t="s">
        <v>230</v>
      </c>
      <c r="D94" s="105">
        <f>321.75*24</f>
        <v>7722</v>
      </c>
      <c r="E94" s="50"/>
      <c r="F94" s="45"/>
      <c r="G94" s="51"/>
      <c r="H94" s="45"/>
      <c r="I94" s="45"/>
      <c r="J94" s="45"/>
      <c r="K94" s="45"/>
      <c r="L94" s="45"/>
      <c r="M94" s="43"/>
    </row>
    <row r="95" spans="2:14" ht="12.75" customHeight="1" x14ac:dyDescent="0.25">
      <c r="B95" s="69" t="s">
        <v>25</v>
      </c>
      <c r="C95" s="70" t="s">
        <v>235</v>
      </c>
      <c r="D95" s="50">
        <f>836*24</f>
        <v>20064</v>
      </c>
      <c r="E95" s="50">
        <f>D95*Inf</f>
        <v>20264.64</v>
      </c>
      <c r="F95" s="45" t="str">
        <f>IF(G95="Y",E95*$F$5," ")</f>
        <v xml:space="preserve"> </v>
      </c>
      <c r="G95" s="51" t="s">
        <v>171</v>
      </c>
      <c r="H95" s="45">
        <f>+$E95*$H$5</f>
        <v>1550.24496</v>
      </c>
      <c r="I95" s="45" t="str">
        <f>IF(J95="Y",3941," ")</f>
        <v xml:space="preserve"> </v>
      </c>
      <c r="J95" s="45" t="s">
        <v>171</v>
      </c>
      <c r="K95" s="45">
        <f>+$E95*$I$5</f>
        <v>202.6464</v>
      </c>
      <c r="L95" s="45">
        <f>IF(E95&gt;7000,7000*$K$5,E95*$K$5)</f>
        <v>70</v>
      </c>
      <c r="M95" s="43">
        <f>SUM(H95:L95,E95:F95)</f>
        <v>22087.531360000001</v>
      </c>
      <c r="N95" s="42" t="str">
        <f>IF(M95&gt;0.49,"*","")</f>
        <v>*</v>
      </c>
    </row>
    <row r="96" spans="2:14" ht="12.75" customHeight="1" x14ac:dyDescent="0.25">
      <c r="B96" s="72" t="s">
        <v>12</v>
      </c>
      <c r="C96" s="99" t="s">
        <v>13</v>
      </c>
      <c r="D96" s="50"/>
      <c r="E96" s="54">
        <f>SUM(E93:E95)</f>
        <v>27223.944</v>
      </c>
      <c r="F96" s="54">
        <f>SUM(F93:F95)</f>
        <v>0</v>
      </c>
      <c r="G96" s="54"/>
      <c r="H96" s="54">
        <f>SUM(H93:H95)</f>
        <v>2082.6317159999999</v>
      </c>
      <c r="I96" s="54">
        <f>SUM(I93:I95)</f>
        <v>0</v>
      </c>
      <c r="J96" s="54"/>
      <c r="K96" s="54">
        <f>SUM(K93:K95)</f>
        <v>272.23944</v>
      </c>
      <c r="L96" s="54">
        <f>SUM(L93:L95)</f>
        <v>139.59304000000003</v>
      </c>
      <c r="M96" s="54">
        <f>SUM(M93:M95)</f>
        <v>29718.408196000004</v>
      </c>
      <c r="N96" s="42" t="str">
        <f>IF(M96&gt;0.49,"*","")</f>
        <v>*</v>
      </c>
    </row>
    <row r="97" spans="2:14" ht="12.75" customHeight="1" x14ac:dyDescent="0.25">
      <c r="B97" s="77"/>
      <c r="D97" s="50"/>
      <c r="E97" s="44"/>
      <c r="F97" s="43"/>
      <c r="N97" s="42" t="str">
        <f>IF(N96="*","*","")</f>
        <v>*</v>
      </c>
    </row>
    <row r="98" spans="2:14" ht="12.75" customHeight="1" x14ac:dyDescent="0.25">
      <c r="B98" s="67" t="s">
        <v>28</v>
      </c>
      <c r="D98" s="50"/>
      <c r="E98" s="50">
        <f>D98*Inf</f>
        <v>0</v>
      </c>
      <c r="F98" s="45" t="str">
        <f>IF(G98="Y",E98*$F$5," ")</f>
        <v xml:space="preserve"> </v>
      </c>
      <c r="G98" s="51" t="s">
        <v>171</v>
      </c>
      <c r="H98" s="45">
        <f>+$E98*$H$5</f>
        <v>0</v>
      </c>
      <c r="I98" s="45" t="str">
        <f>IF(J98="Y",3941," ")</f>
        <v xml:space="preserve"> </v>
      </c>
      <c r="J98" s="45" t="s">
        <v>171</v>
      </c>
      <c r="K98" s="45">
        <f>+$E98*$I$5</f>
        <v>0</v>
      </c>
      <c r="L98" s="45">
        <f>IF(E98&gt;7000,7000*$K$5,E98*$K$5)</f>
        <v>0</v>
      </c>
      <c r="M98" s="43">
        <f>SUM(H98:L98,E98:F98)</f>
        <v>0</v>
      </c>
      <c r="N98" s="42" t="str">
        <f>IF(M98&gt;0.49,"*","")</f>
        <v/>
      </c>
    </row>
    <row r="99" spans="2:14" ht="12.75" customHeight="1" x14ac:dyDescent="0.25">
      <c r="B99" s="69" t="s">
        <v>28</v>
      </c>
      <c r="C99" s="70"/>
      <c r="D99" s="50"/>
      <c r="E99" s="50">
        <f>D99*Inf</f>
        <v>0</v>
      </c>
      <c r="F99" s="45" t="str">
        <f>IF(G99="Y",E99*$F$5," ")</f>
        <v xml:space="preserve"> </v>
      </c>
      <c r="G99" s="51" t="s">
        <v>171</v>
      </c>
      <c r="H99" s="45">
        <f>+$E99*$H$5</f>
        <v>0</v>
      </c>
      <c r="I99" s="45" t="str">
        <f>IF(J99="Y",3941," ")</f>
        <v xml:space="preserve"> </v>
      </c>
      <c r="J99" s="45" t="s">
        <v>171</v>
      </c>
      <c r="K99" s="45">
        <f>+$E99*$I$5</f>
        <v>0</v>
      </c>
      <c r="L99" s="45">
        <f>IF(E99&gt;7000,7000*$K$5,E99*$K$5)</f>
        <v>0</v>
      </c>
      <c r="M99" s="43">
        <f>SUM(H99:L99,E99:F99)</f>
        <v>0</v>
      </c>
      <c r="N99" s="42" t="str">
        <f>IF(M99&gt;0.49,"*","")</f>
        <v/>
      </c>
    </row>
    <row r="100" spans="2:14" ht="12.75" customHeight="1" x14ac:dyDescent="0.25">
      <c r="B100" s="80">
        <v>10040007900165</v>
      </c>
      <c r="C100" s="99" t="s">
        <v>18</v>
      </c>
      <c r="D100" s="50"/>
      <c r="E100" s="54">
        <f>SUM(E98:E99)</f>
        <v>0</v>
      </c>
      <c r="F100" s="54">
        <f t="shared" ref="F100:M100" si="19">SUM(F98:F99)</f>
        <v>0</v>
      </c>
      <c r="G100" s="54"/>
      <c r="H100" s="54">
        <f t="shared" si="19"/>
        <v>0</v>
      </c>
      <c r="I100" s="54">
        <f t="shared" si="19"/>
        <v>0</v>
      </c>
      <c r="J100" s="54"/>
      <c r="K100" s="54">
        <f t="shared" si="19"/>
        <v>0</v>
      </c>
      <c r="L100" s="54">
        <f t="shared" si="19"/>
        <v>0</v>
      </c>
      <c r="M100" s="54">
        <f t="shared" si="19"/>
        <v>0</v>
      </c>
      <c r="N100" s="42" t="str">
        <f>IF(M100&gt;0.49,"*","")</f>
        <v/>
      </c>
    </row>
    <row r="101" spans="2:14" ht="12.75" customHeight="1" x14ac:dyDescent="0.25">
      <c r="B101" s="77"/>
      <c r="D101" s="50"/>
      <c r="E101" s="44"/>
      <c r="F101" s="43"/>
      <c r="N101" s="42" t="str">
        <f>IF(N100="*","*","")</f>
        <v/>
      </c>
    </row>
    <row r="102" spans="2:14" ht="12.75" customHeight="1" x14ac:dyDescent="0.25">
      <c r="B102" s="67" t="s">
        <v>27</v>
      </c>
      <c r="C102" s="104" t="s">
        <v>241</v>
      </c>
      <c r="D102" s="105">
        <f>490*24</f>
        <v>11760</v>
      </c>
      <c r="E102" s="50">
        <f>D102*Inf</f>
        <v>11877.6</v>
      </c>
      <c r="F102" s="45" t="str">
        <f>IF(G102="Y",E102*$F$5," ")</f>
        <v xml:space="preserve"> </v>
      </c>
      <c r="G102" s="51" t="s">
        <v>171</v>
      </c>
      <c r="H102" s="45">
        <f>+$E102*$H$5</f>
        <v>908.63639999999998</v>
      </c>
      <c r="I102" s="45" t="str">
        <f>IF(J102="Y",3941," ")</f>
        <v xml:space="preserve"> </v>
      </c>
      <c r="J102" s="45" t="s">
        <v>171</v>
      </c>
      <c r="K102" s="45">
        <f>+$E102*$I$5</f>
        <v>118.77600000000001</v>
      </c>
      <c r="L102" s="45">
        <f>IF(E102&gt;7000,7000*$K$5,E102*$K$5)</f>
        <v>70</v>
      </c>
      <c r="M102" s="43">
        <f>SUM(H102:L102,E102:F102)</f>
        <v>12975.0124</v>
      </c>
      <c r="N102" s="42" t="str">
        <f>IF(M102&gt;0.49,"*","")</f>
        <v>*</v>
      </c>
    </row>
    <row r="103" spans="2:14" ht="12.75" customHeight="1" x14ac:dyDescent="0.25">
      <c r="B103" s="69" t="s">
        <v>27</v>
      </c>
      <c r="C103" s="70"/>
      <c r="D103" s="50"/>
      <c r="E103" s="50">
        <f>D103*Inf</f>
        <v>0</v>
      </c>
      <c r="F103" s="45" t="str">
        <f>IF(G103="Y",E103*$F$5," ")</f>
        <v xml:space="preserve"> </v>
      </c>
      <c r="G103" s="51" t="s">
        <v>171</v>
      </c>
      <c r="H103" s="45">
        <f>+$E103*$H$5</f>
        <v>0</v>
      </c>
      <c r="I103" s="45" t="str">
        <f>IF(J103="Y",3941," ")</f>
        <v xml:space="preserve"> </v>
      </c>
      <c r="J103" s="45" t="s">
        <v>171</v>
      </c>
      <c r="K103" s="45">
        <f>+$E103*$I$5</f>
        <v>0</v>
      </c>
      <c r="L103" s="45">
        <f>IF(E103&gt;7000,7000*$K$5,E103*$K$5)</f>
        <v>0</v>
      </c>
      <c r="M103" s="43">
        <f>SUM(H103:L103,E103:F103)</f>
        <v>0</v>
      </c>
      <c r="N103" s="42" t="str">
        <f>IF(M103&gt;0.49,"*","")</f>
        <v/>
      </c>
    </row>
    <row r="104" spans="2:14" ht="12.75" customHeight="1" x14ac:dyDescent="0.25">
      <c r="B104" s="72" t="s">
        <v>14</v>
      </c>
      <c r="C104" s="99" t="s">
        <v>15</v>
      </c>
      <c r="D104" s="50"/>
      <c r="E104" s="53">
        <f>SUM(E102:E103)</f>
        <v>11877.6</v>
      </c>
      <c r="F104" s="53">
        <f t="shared" ref="F104:M104" si="20">SUM(F102:F103)</f>
        <v>0</v>
      </c>
      <c r="G104" s="53"/>
      <c r="H104" s="53">
        <f t="shared" si="20"/>
        <v>908.63639999999998</v>
      </c>
      <c r="I104" s="53">
        <f t="shared" si="20"/>
        <v>0</v>
      </c>
      <c r="J104" s="53"/>
      <c r="K104" s="53">
        <f t="shared" si="20"/>
        <v>118.77600000000001</v>
      </c>
      <c r="L104" s="53">
        <f t="shared" si="20"/>
        <v>70</v>
      </c>
      <c r="M104" s="53">
        <f t="shared" si="20"/>
        <v>12975.0124</v>
      </c>
      <c r="N104" s="42" t="str">
        <f>IF(M104&gt;0.49,"*","")</f>
        <v>*</v>
      </c>
    </row>
    <row r="105" spans="2:14" ht="12.75" customHeight="1" x14ac:dyDescent="0.25">
      <c r="B105" s="77"/>
      <c r="D105" s="50"/>
      <c r="E105" s="45"/>
      <c r="F105" s="43"/>
      <c r="N105" s="42" t="str">
        <f>IF(N104="*","*","")</f>
        <v>*</v>
      </c>
    </row>
    <row r="106" spans="2:14" ht="12.75" customHeight="1" x14ac:dyDescent="0.25">
      <c r="B106" s="69" t="s">
        <v>21</v>
      </c>
      <c r="C106" s="106" t="s">
        <v>227</v>
      </c>
      <c r="D106" s="105">
        <f>650.41*24</f>
        <v>15609.84</v>
      </c>
      <c r="E106" s="50">
        <f>D106*Inf</f>
        <v>15765.938400000001</v>
      </c>
      <c r="F106" s="45" t="str">
        <f>IF(G106="Y",E106*$F$5," ")</f>
        <v xml:space="preserve"> </v>
      </c>
      <c r="G106" s="51" t="s">
        <v>171</v>
      </c>
      <c r="H106" s="45">
        <f>+$E106*$H$5</f>
        <v>1206.0942876000001</v>
      </c>
      <c r="I106" s="45" t="str">
        <f>IF(J106="Y",3941," ")</f>
        <v xml:space="preserve"> </v>
      </c>
      <c r="J106" s="45" t="s">
        <v>171</v>
      </c>
      <c r="K106" s="45">
        <f>+$E106*$I$5</f>
        <v>157.65938400000002</v>
      </c>
      <c r="L106" s="45">
        <f>IF(E106&gt;7000,7000*$K$5,E106*$K$5)</f>
        <v>70</v>
      </c>
      <c r="M106" s="43">
        <f>SUM(H106:L106,E106:F106)</f>
        <v>17199.692071600002</v>
      </c>
      <c r="N106" s="42" t="str">
        <f>IF(M106&gt;0.49,"*","")</f>
        <v>*</v>
      </c>
    </row>
    <row r="107" spans="2:14" ht="12.75" customHeight="1" x14ac:dyDescent="0.25">
      <c r="B107" s="69" t="s">
        <v>21</v>
      </c>
      <c r="C107" s="70"/>
      <c r="D107" s="50"/>
      <c r="E107" s="50">
        <f>D107*Inf</f>
        <v>0</v>
      </c>
      <c r="F107" s="45"/>
      <c r="G107" s="51"/>
      <c r="H107" s="45"/>
      <c r="I107" s="45"/>
      <c r="J107" s="45"/>
      <c r="K107" s="45"/>
      <c r="L107" s="45"/>
      <c r="M107" s="43"/>
    </row>
    <row r="108" spans="2:14" ht="12.75" customHeight="1" x14ac:dyDescent="0.25">
      <c r="B108" s="69" t="s">
        <v>21</v>
      </c>
      <c r="C108" s="70"/>
      <c r="D108" s="50"/>
      <c r="E108" s="50">
        <f>D108*Inf</f>
        <v>0</v>
      </c>
      <c r="F108" s="45"/>
      <c r="G108" s="51"/>
      <c r="H108" s="45"/>
      <c r="I108" s="45"/>
      <c r="J108" s="45"/>
      <c r="K108" s="45"/>
      <c r="L108" s="45"/>
      <c r="M108" s="43"/>
    </row>
    <row r="109" spans="2:14" ht="12.75" customHeight="1" x14ac:dyDescent="0.25">
      <c r="B109" s="69" t="s">
        <v>21</v>
      </c>
      <c r="C109" s="70"/>
      <c r="D109" s="50"/>
      <c r="E109" s="50">
        <f>D109*Inf</f>
        <v>0</v>
      </c>
      <c r="F109" s="45"/>
      <c r="G109" s="51"/>
      <c r="H109" s="45"/>
      <c r="I109" s="45"/>
      <c r="J109" s="45"/>
      <c r="K109" s="45"/>
      <c r="L109" s="45"/>
      <c r="M109" s="43"/>
    </row>
    <row r="110" spans="2:14" ht="12.75" customHeight="1" x14ac:dyDescent="0.25">
      <c r="B110" s="80">
        <v>89140009100150</v>
      </c>
      <c r="C110" s="99" t="s">
        <v>186</v>
      </c>
      <c r="D110" s="50"/>
      <c r="E110" s="53">
        <f>SUM(E106:E109)</f>
        <v>15765.938400000001</v>
      </c>
      <c r="F110" s="53">
        <f t="shared" ref="F110:M110" si="21">SUM(F106:F109)</f>
        <v>0</v>
      </c>
      <c r="G110" s="53"/>
      <c r="H110" s="53">
        <f t="shared" si="21"/>
        <v>1206.0942876000001</v>
      </c>
      <c r="I110" s="53">
        <f t="shared" si="21"/>
        <v>0</v>
      </c>
      <c r="J110" s="53"/>
      <c r="K110" s="53">
        <f t="shared" si="21"/>
        <v>157.65938400000002</v>
      </c>
      <c r="L110" s="53">
        <f t="shared" si="21"/>
        <v>70</v>
      </c>
      <c r="M110" s="53">
        <f t="shared" si="21"/>
        <v>17199.692071600002</v>
      </c>
      <c r="N110" s="42" t="str">
        <f>IF(M110&gt;0.49,"*","")</f>
        <v>*</v>
      </c>
    </row>
    <row r="111" spans="2:14" ht="12.75" customHeight="1" x14ac:dyDescent="0.25">
      <c r="B111" s="77"/>
      <c r="D111" s="50"/>
      <c r="E111" s="57">
        <f>SUM(E110:E110,E104:E104,E100:E100,E96,E91:E91,E86,E75:E75,E72:E72,E67:E67,E41,E35+E82+E78)</f>
        <v>393857.57999999996</v>
      </c>
      <c r="F111" s="57">
        <f t="shared" ref="F111:M111" si="22">SUM(F110:F110,F104:F104,F100:F100,F96,F91:F91,F86,F75:F75,F72:F72,F67:F67,F41,F35+F82+F78)</f>
        <v>1472.58</v>
      </c>
      <c r="G111" s="57"/>
      <c r="H111" s="57">
        <f t="shared" si="22"/>
        <v>30130.104869999999</v>
      </c>
      <c r="I111" s="57">
        <f t="shared" si="22"/>
        <v>19705</v>
      </c>
      <c r="J111" s="57"/>
      <c r="K111" s="57">
        <f t="shared" si="22"/>
        <v>3938.5758000000005</v>
      </c>
      <c r="L111" s="57">
        <f t="shared" si="22"/>
        <v>1329.59304</v>
      </c>
      <c r="M111" s="57">
        <f t="shared" si="22"/>
        <v>450433.43371000001</v>
      </c>
      <c r="N111" s="42" t="str">
        <f>IF(M111&gt;0.49,"*","")</f>
        <v>*</v>
      </c>
    </row>
    <row r="112" spans="2:14" ht="12.75" customHeight="1" x14ac:dyDescent="0.25">
      <c r="D112" s="50"/>
    </row>
    <row r="113" spans="4:4" ht="12.75" customHeight="1" x14ac:dyDescent="0.25">
      <c r="D113" s="50"/>
    </row>
    <row r="114" spans="4:4" ht="12.75" customHeight="1" x14ac:dyDescent="0.25">
      <c r="D114" s="50"/>
    </row>
    <row r="115" spans="4:4" ht="12.75" customHeight="1" x14ac:dyDescent="0.25">
      <c r="D115" s="50"/>
    </row>
    <row r="116" spans="4:4" ht="12.75" customHeight="1" x14ac:dyDescent="0.25">
      <c r="D116" s="50"/>
    </row>
    <row r="117" spans="4:4" ht="12.75" customHeight="1" x14ac:dyDescent="0.25">
      <c r="D117" s="50"/>
    </row>
    <row r="118" spans="4:4" ht="12.75" customHeight="1" x14ac:dyDescent="0.25">
      <c r="D118" s="50"/>
    </row>
    <row r="119" spans="4:4" ht="12.75" customHeight="1" x14ac:dyDescent="0.25">
      <c r="D119" s="50"/>
    </row>
    <row r="120" spans="4:4" ht="12.75" customHeight="1" x14ac:dyDescent="0.25">
      <c r="D120" s="50"/>
    </row>
    <row r="121" spans="4:4" ht="12.75" customHeight="1" x14ac:dyDescent="0.25">
      <c r="D121" s="50"/>
    </row>
    <row r="122" spans="4:4" ht="12.75" customHeight="1" x14ac:dyDescent="0.25">
      <c r="D122" s="50"/>
    </row>
    <row r="123" spans="4:4" ht="12.75" customHeight="1" x14ac:dyDescent="0.25">
      <c r="D123" s="50"/>
    </row>
    <row r="124" spans="4:4" ht="12.75" customHeight="1" x14ac:dyDescent="0.25">
      <c r="D124" s="50"/>
    </row>
    <row r="125" spans="4:4" ht="12.75" customHeight="1" x14ac:dyDescent="0.25">
      <c r="D125" s="50"/>
    </row>
    <row r="126" spans="4:4" ht="12.75" customHeight="1" x14ac:dyDescent="0.25">
      <c r="D126" s="50"/>
    </row>
    <row r="127" spans="4:4" ht="12.75" customHeight="1" x14ac:dyDescent="0.25">
      <c r="D127" s="50"/>
    </row>
    <row r="128" spans="4:4" ht="12.75" customHeight="1" x14ac:dyDescent="0.25">
      <c r="D128" s="50"/>
    </row>
    <row r="129" spans="4:4" ht="12.75" customHeight="1" x14ac:dyDescent="0.25">
      <c r="D129" s="50"/>
    </row>
    <row r="130" spans="4:4" ht="12.75" customHeight="1" x14ac:dyDescent="0.25">
      <c r="D130" s="50"/>
    </row>
    <row r="131" spans="4:4" ht="12.75" customHeight="1" x14ac:dyDescent="0.25">
      <c r="D131" s="50"/>
    </row>
    <row r="132" spans="4:4" ht="12.75" customHeight="1" x14ac:dyDescent="0.25">
      <c r="D132" s="50"/>
    </row>
    <row r="133" spans="4:4" ht="12.75" customHeight="1" x14ac:dyDescent="0.25">
      <c r="D133" s="50"/>
    </row>
    <row r="134" spans="4:4" ht="12.75" customHeight="1" x14ac:dyDescent="0.25">
      <c r="D134" s="50"/>
    </row>
    <row r="135" spans="4:4" ht="12.75" customHeight="1" x14ac:dyDescent="0.25">
      <c r="D135" s="50"/>
    </row>
    <row r="136" spans="4:4" ht="12.75" customHeight="1" x14ac:dyDescent="0.25">
      <c r="D136" s="50"/>
    </row>
    <row r="137" spans="4:4" ht="12.75" customHeight="1" x14ac:dyDescent="0.25">
      <c r="D137" s="50"/>
    </row>
    <row r="138" spans="4:4" ht="12.75" customHeight="1" x14ac:dyDescent="0.25">
      <c r="D138" s="50"/>
    </row>
    <row r="139" spans="4:4" ht="12.75" customHeight="1" x14ac:dyDescent="0.25">
      <c r="D139" s="50"/>
    </row>
    <row r="140" spans="4:4" ht="12.75" customHeight="1" x14ac:dyDescent="0.25">
      <c r="D140" s="50"/>
    </row>
    <row r="141" spans="4:4" ht="12.75" customHeight="1" x14ac:dyDescent="0.25">
      <c r="D141" s="50"/>
    </row>
    <row r="142" spans="4:4" ht="12.75" customHeight="1" x14ac:dyDescent="0.25">
      <c r="D142" s="50"/>
    </row>
    <row r="143" spans="4:4" ht="12.75" customHeight="1" x14ac:dyDescent="0.25">
      <c r="D143" s="50"/>
    </row>
    <row r="144" spans="4:4" ht="12.75" customHeight="1" x14ac:dyDescent="0.25">
      <c r="D144" s="50"/>
    </row>
    <row r="145" spans="4:4" ht="12.75" customHeight="1" x14ac:dyDescent="0.25">
      <c r="D145" s="50"/>
    </row>
    <row r="146" spans="4:4" ht="12.75" customHeight="1" x14ac:dyDescent="0.25">
      <c r="D146" s="50"/>
    </row>
    <row r="147" spans="4:4" ht="12.75" customHeight="1" x14ac:dyDescent="0.25">
      <c r="D147" s="50"/>
    </row>
    <row r="148" spans="4:4" ht="12.75" customHeight="1" x14ac:dyDescent="0.25">
      <c r="D148" s="50"/>
    </row>
    <row r="149" spans="4:4" ht="12.75" customHeight="1" x14ac:dyDescent="0.25">
      <c r="D149" s="50"/>
    </row>
    <row r="150" spans="4:4" ht="12.75" customHeight="1" x14ac:dyDescent="0.25">
      <c r="D150" s="50"/>
    </row>
    <row r="151" spans="4:4" ht="12.75" customHeight="1" x14ac:dyDescent="0.25">
      <c r="D151" s="50"/>
    </row>
    <row r="152" spans="4:4" ht="12.75" customHeight="1" x14ac:dyDescent="0.25">
      <c r="D152" s="50"/>
    </row>
    <row r="153" spans="4:4" ht="12.75" customHeight="1" x14ac:dyDescent="0.25">
      <c r="D153" s="50"/>
    </row>
    <row r="154" spans="4:4" ht="12.75" customHeight="1" x14ac:dyDescent="0.25">
      <c r="D154" s="50"/>
    </row>
    <row r="155" spans="4:4" ht="12.75" customHeight="1" x14ac:dyDescent="0.25">
      <c r="D155" s="50"/>
    </row>
    <row r="156" spans="4:4" ht="12.75" customHeight="1" x14ac:dyDescent="0.25">
      <c r="D156" s="50"/>
    </row>
    <row r="157" spans="4:4" ht="12.75" customHeight="1" x14ac:dyDescent="0.25">
      <c r="D157" s="50"/>
    </row>
    <row r="158" spans="4:4" ht="12.75" customHeight="1" x14ac:dyDescent="0.25">
      <c r="D158" s="50"/>
    </row>
    <row r="159" spans="4:4" ht="12.75" customHeight="1" x14ac:dyDescent="0.25">
      <c r="D159" s="50"/>
    </row>
    <row r="160" spans="4:4" ht="12.75" customHeight="1" x14ac:dyDescent="0.25">
      <c r="D160" s="50"/>
    </row>
    <row r="161" spans="4:4" ht="12.75" customHeight="1" x14ac:dyDescent="0.25">
      <c r="D161" s="50"/>
    </row>
    <row r="162" spans="4:4" ht="12.75" customHeight="1" x14ac:dyDescent="0.25">
      <c r="D162" s="50"/>
    </row>
    <row r="163" spans="4:4" ht="12.75" customHeight="1" x14ac:dyDescent="0.25">
      <c r="D163" s="50"/>
    </row>
    <row r="164" spans="4:4" ht="12.75" customHeight="1" x14ac:dyDescent="0.25">
      <c r="D164" s="50"/>
    </row>
    <row r="165" spans="4:4" ht="12.75" customHeight="1" x14ac:dyDescent="0.25">
      <c r="D165" s="50"/>
    </row>
    <row r="166" spans="4:4" ht="12.75" customHeight="1" x14ac:dyDescent="0.25">
      <c r="D166" s="50"/>
    </row>
    <row r="167" spans="4:4" ht="12.75" customHeight="1" x14ac:dyDescent="0.25">
      <c r="D167" s="50"/>
    </row>
  </sheetData>
  <autoFilter ref="N1:N111"/>
  <mergeCells count="18">
    <mergeCell ref="B1:E1"/>
    <mergeCell ref="B2:E2"/>
    <mergeCell ref="F9:G9"/>
    <mergeCell ref="F4:G4"/>
    <mergeCell ref="F5:G5"/>
    <mergeCell ref="F6:G6"/>
    <mergeCell ref="F7:G7"/>
    <mergeCell ref="F8:G8"/>
    <mergeCell ref="I4:J4"/>
    <mergeCell ref="I5:J5"/>
    <mergeCell ref="I6:J6"/>
    <mergeCell ref="I7:J7"/>
    <mergeCell ref="I8:J8"/>
    <mergeCell ref="F10:G10"/>
    <mergeCell ref="I10:J10"/>
    <mergeCell ref="F13:G13"/>
    <mergeCell ref="I13:J13"/>
    <mergeCell ref="I9:J9"/>
  </mergeCells>
  <phoneticPr fontId="0" type="noConversion"/>
  <printOptions horizontalCentered="1"/>
  <pageMargins left="0" right="0" top="0.5" bottom="0.5" header="0" footer="0"/>
  <pageSetup scale="82" fitToHeight="5" orientation="landscape" horizontalDpi="4294967293" verticalDpi="300" r:id="rId1"/>
  <headerFooter alignWithMargins="0"/>
  <rowBreaks count="1" manualBreakCount="1">
    <brk id="3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149"/>
  <sheetViews>
    <sheetView topLeftCell="B1" zoomScaleNormal="100" workbookViewId="0">
      <selection activeCell="B1" sqref="B1"/>
    </sheetView>
  </sheetViews>
  <sheetFormatPr defaultColWidth="9.109375" defaultRowHeight="13.2" x14ac:dyDescent="0.25"/>
  <cols>
    <col min="1" max="1" width="6.6640625" style="2" hidden="1" customWidth="1"/>
    <col min="2" max="2" width="4" style="2" bestFit="1" customWidth="1"/>
    <col min="3" max="3" width="5" style="2" customWidth="1"/>
    <col min="4" max="4" width="5" style="2" bestFit="1" customWidth="1"/>
    <col min="5" max="5" width="4" style="2" bestFit="1" customWidth="1"/>
    <col min="6" max="6" width="26.88671875" style="2" customWidth="1"/>
    <col min="7" max="7" width="11.109375" style="2" hidden="1" customWidth="1"/>
    <col min="8" max="8" width="0.88671875" style="2" hidden="1" customWidth="1"/>
    <col min="9" max="9" width="11.109375" style="2" hidden="1" customWidth="1"/>
    <col min="10" max="10" width="0.88671875" style="2" customWidth="1"/>
    <col min="11" max="11" width="11" style="2" customWidth="1"/>
    <col min="12" max="12" width="0.88671875" style="2" customWidth="1"/>
    <col min="13" max="13" width="11" style="2" customWidth="1"/>
    <col min="14" max="14" width="0.88671875" style="2" customWidth="1"/>
    <col min="15" max="15" width="23.109375" style="2" customWidth="1"/>
    <col min="16" max="16" width="9.109375" style="2" hidden="1" customWidth="1"/>
    <col min="17" max="17" width="3.109375" style="2" hidden="1" customWidth="1"/>
    <col min="18" max="19" width="3.88671875" style="2" hidden="1" customWidth="1"/>
    <col min="20" max="20" width="3.109375" style="2" hidden="1" customWidth="1"/>
    <col min="21" max="21" width="27.5546875" style="2" hidden="1" customWidth="1"/>
    <col min="22" max="22" width="0" style="2" hidden="1" customWidth="1"/>
    <col min="23" max="16384" width="9.109375" style="2"/>
  </cols>
  <sheetData>
    <row r="1" spans="1:22" x14ac:dyDescent="0.25">
      <c r="B1" s="130" t="str">
        <f>Budget!B1</f>
        <v>CHAUTAUQUA LEARN &amp; SERVE CHARTER SCHOOL</v>
      </c>
      <c r="C1" s="129"/>
      <c r="D1" s="130"/>
      <c r="E1" s="130"/>
      <c r="F1" s="130"/>
      <c r="G1" s="129"/>
      <c r="P1" s="2" t="s">
        <v>189</v>
      </c>
    </row>
    <row r="2" spans="1:22" x14ac:dyDescent="0.25">
      <c r="B2" s="174" t="s">
        <v>272</v>
      </c>
      <c r="C2" s="174"/>
      <c r="D2" s="174"/>
      <c r="E2" s="174"/>
      <c r="F2" s="174"/>
      <c r="G2" s="174"/>
      <c r="P2" s="2" t="s">
        <v>189</v>
      </c>
    </row>
    <row r="3" spans="1:22" ht="17.25" customHeight="1" x14ac:dyDescent="0.25">
      <c r="P3" s="2" t="s">
        <v>189</v>
      </c>
    </row>
    <row r="4" spans="1:22" x14ac:dyDescent="0.25">
      <c r="I4" s="18"/>
      <c r="P4" s="2" t="s">
        <v>189</v>
      </c>
    </row>
    <row r="5" spans="1:22" x14ac:dyDescent="0.25">
      <c r="G5" s="18"/>
      <c r="I5" s="18"/>
      <c r="M5" s="18"/>
      <c r="P5" s="2" t="s">
        <v>189</v>
      </c>
    </row>
    <row r="6" spans="1:22" x14ac:dyDescent="0.25">
      <c r="G6" s="18" t="s">
        <v>217</v>
      </c>
      <c r="I6" s="18" t="s">
        <v>217</v>
      </c>
      <c r="K6" s="128" t="s">
        <v>445</v>
      </c>
      <c r="M6" s="128" t="s">
        <v>242</v>
      </c>
      <c r="P6" s="2" t="s">
        <v>189</v>
      </c>
    </row>
    <row r="7" spans="1:22" s="8" customFormat="1" ht="12.75" customHeight="1" x14ac:dyDescent="0.25">
      <c r="G7" s="18" t="s">
        <v>205</v>
      </c>
      <c r="I7" s="18" t="s">
        <v>216</v>
      </c>
      <c r="K7" s="19" t="s">
        <v>414</v>
      </c>
      <c r="M7" s="19" t="s">
        <v>416</v>
      </c>
      <c r="O7" s="19" t="s">
        <v>66</v>
      </c>
      <c r="P7" s="2" t="s">
        <v>189</v>
      </c>
    </row>
    <row r="8" spans="1:22" x14ac:dyDescent="0.25">
      <c r="A8" s="42"/>
      <c r="B8" s="81"/>
      <c r="C8" s="81"/>
      <c r="D8" s="81"/>
      <c r="E8" s="81"/>
      <c r="F8" s="81"/>
      <c r="G8" s="88"/>
      <c r="H8" s="88"/>
      <c r="I8" s="88"/>
      <c r="J8" s="88"/>
      <c r="K8" s="88"/>
      <c r="L8" s="88"/>
      <c r="M8" s="88"/>
      <c r="N8" s="88"/>
      <c r="O8" s="88"/>
      <c r="P8" s="2" t="s">
        <v>189</v>
      </c>
    </row>
    <row r="9" spans="1:22" x14ac:dyDescent="0.25">
      <c r="A9" s="42"/>
      <c r="B9" s="110">
        <v>100</v>
      </c>
      <c r="C9" s="110">
        <v>4000</v>
      </c>
      <c r="D9" s="110">
        <v>5200</v>
      </c>
      <c r="E9" s="110">
        <v>310</v>
      </c>
      <c r="F9" s="110" t="s">
        <v>148</v>
      </c>
      <c r="G9" s="88"/>
      <c r="H9" s="88"/>
      <c r="I9" s="88"/>
      <c r="J9" s="88"/>
      <c r="K9" s="111">
        <v>17314.280000000002</v>
      </c>
      <c r="L9" s="88"/>
      <c r="M9" s="88">
        <f>+(K9+K19)/EnrOld*EnrNew*Inf</f>
        <v>39601.48952928475</v>
      </c>
      <c r="N9" s="88"/>
      <c r="O9" s="120" t="s">
        <v>277</v>
      </c>
      <c r="P9" s="2" t="str">
        <f>IF(M9&gt;0.49,"*","")</f>
        <v>*</v>
      </c>
      <c r="Q9" s="110">
        <v>100</v>
      </c>
      <c r="R9" s="110">
        <v>4000</v>
      </c>
      <c r="S9" s="110">
        <v>5200</v>
      </c>
      <c r="T9" s="110">
        <v>310</v>
      </c>
      <c r="U9" s="110" t="s">
        <v>148</v>
      </c>
      <c r="V9" s="111">
        <v>17314.280000000002</v>
      </c>
    </row>
    <row r="10" spans="1:22" x14ac:dyDescent="0.25">
      <c r="A10" s="42"/>
      <c r="B10" s="110">
        <v>100</v>
      </c>
      <c r="C10" s="110">
        <v>4000</v>
      </c>
      <c r="D10" s="110">
        <v>5200</v>
      </c>
      <c r="E10" s="110">
        <v>315</v>
      </c>
      <c r="F10" s="110" t="s">
        <v>296</v>
      </c>
      <c r="G10" s="88"/>
      <c r="H10" s="88"/>
      <c r="I10" s="88"/>
      <c r="J10" s="88"/>
      <c r="K10" s="111">
        <v>893.75</v>
      </c>
      <c r="L10" s="88"/>
      <c r="M10" s="88">
        <f t="shared" ref="M10:M24" si="0">+K10/EnrOld*EnrNew*Inf</f>
        <v>882.79020467836256</v>
      </c>
      <c r="N10" s="88"/>
      <c r="O10" s="120" t="s">
        <v>277</v>
      </c>
      <c r="P10" s="2" t="str">
        <f t="shared" ref="P10:P81" si="1">IF(M10&gt;0.49,"*","")</f>
        <v>*</v>
      </c>
      <c r="Q10" s="110">
        <v>100</v>
      </c>
      <c r="R10" s="110">
        <v>4000</v>
      </c>
      <c r="S10" s="110">
        <v>5200</v>
      </c>
      <c r="T10" s="110">
        <v>315</v>
      </c>
      <c r="U10" s="110" t="s">
        <v>296</v>
      </c>
      <c r="V10" s="111">
        <v>893.75</v>
      </c>
    </row>
    <row r="11" spans="1:22" x14ac:dyDescent="0.25">
      <c r="B11" s="110">
        <v>100</v>
      </c>
      <c r="C11" s="110">
        <v>4000</v>
      </c>
      <c r="D11" s="110">
        <v>5200</v>
      </c>
      <c r="E11" s="110">
        <v>330</v>
      </c>
      <c r="F11" s="110" t="s">
        <v>300</v>
      </c>
      <c r="G11" s="88"/>
      <c r="H11" s="88"/>
      <c r="I11" s="88"/>
      <c r="K11" s="111">
        <v>86119.489999999991</v>
      </c>
      <c r="M11" s="88">
        <f>+(K11+K20)/EnrOld*EnrNew*Inf</f>
        <v>104643.20001421502</v>
      </c>
      <c r="N11" s="88"/>
      <c r="O11" s="120" t="s">
        <v>277</v>
      </c>
      <c r="P11" s="2" t="str">
        <f t="shared" si="1"/>
        <v>*</v>
      </c>
      <c r="Q11" s="110">
        <v>100</v>
      </c>
      <c r="R11" s="110">
        <v>4000</v>
      </c>
      <c r="S11" s="110">
        <v>5200</v>
      </c>
      <c r="T11" s="110">
        <v>330</v>
      </c>
      <c r="U11" s="110" t="s">
        <v>300</v>
      </c>
      <c r="V11" s="111">
        <v>86119.489999999991</v>
      </c>
    </row>
    <row r="12" spans="1:22" x14ac:dyDescent="0.25">
      <c r="A12" s="42"/>
      <c r="B12" s="110">
        <v>100</v>
      </c>
      <c r="C12" s="110">
        <v>4000</v>
      </c>
      <c r="D12" s="110">
        <v>5200</v>
      </c>
      <c r="E12" s="110">
        <v>390</v>
      </c>
      <c r="F12" s="110" t="s">
        <v>301</v>
      </c>
      <c r="G12" s="88"/>
      <c r="H12" s="88"/>
      <c r="I12" s="88"/>
      <c r="J12" s="88"/>
      <c r="K12" s="111">
        <v>8570.58</v>
      </c>
      <c r="L12" s="88"/>
      <c r="M12" s="88">
        <f>+K12/EnrOld*EnrNew*Inf</f>
        <v>8465.4814796221308</v>
      </c>
      <c r="N12" s="88"/>
      <c r="O12" s="120" t="s">
        <v>277</v>
      </c>
      <c r="P12" s="2" t="str">
        <f t="shared" si="1"/>
        <v>*</v>
      </c>
      <c r="Q12" s="110">
        <v>100</v>
      </c>
      <c r="R12" s="110">
        <v>4000</v>
      </c>
      <c r="S12" s="110">
        <v>5200</v>
      </c>
      <c r="T12" s="110">
        <v>390</v>
      </c>
      <c r="U12" s="110" t="s">
        <v>301</v>
      </c>
      <c r="V12" s="111">
        <v>8570.58</v>
      </c>
    </row>
    <row r="13" spans="1:22" x14ac:dyDescent="0.25">
      <c r="A13" s="42"/>
      <c r="B13" s="110">
        <v>100</v>
      </c>
      <c r="C13" s="110">
        <v>4000</v>
      </c>
      <c r="D13" s="110">
        <v>5200</v>
      </c>
      <c r="E13" s="110">
        <v>510</v>
      </c>
      <c r="F13" s="110" t="s">
        <v>302</v>
      </c>
      <c r="G13" s="88"/>
      <c r="H13" s="88"/>
      <c r="I13" s="88"/>
      <c r="J13" s="88"/>
      <c r="K13" s="111">
        <v>62532.909999999996</v>
      </c>
      <c r="L13" s="88"/>
      <c r="M13" s="88">
        <f>+K13/EnrOld*EnrNew*Inf</f>
        <v>61766.087181016635</v>
      </c>
      <c r="N13" s="88"/>
      <c r="O13" s="120" t="s">
        <v>277</v>
      </c>
      <c r="P13" s="2" t="str">
        <f t="shared" si="1"/>
        <v>*</v>
      </c>
      <c r="Q13" s="110">
        <v>100</v>
      </c>
      <c r="R13" s="110">
        <v>4000</v>
      </c>
      <c r="S13" s="110">
        <v>5200</v>
      </c>
      <c r="T13" s="110">
        <v>510</v>
      </c>
      <c r="U13" s="110" t="s">
        <v>302</v>
      </c>
      <c r="V13" s="111">
        <v>62532.909999999996</v>
      </c>
    </row>
    <row r="14" spans="1:22" x14ac:dyDescent="0.25">
      <c r="A14" s="42"/>
      <c r="B14" s="110">
        <v>100</v>
      </c>
      <c r="C14" s="110">
        <v>4000</v>
      </c>
      <c r="D14" s="110">
        <v>5200</v>
      </c>
      <c r="E14" s="110">
        <v>520</v>
      </c>
      <c r="F14" s="110" t="s">
        <v>303</v>
      </c>
      <c r="G14" s="88"/>
      <c r="H14" s="88"/>
      <c r="I14" s="88"/>
      <c r="J14" s="88"/>
      <c r="K14" s="111">
        <v>110.05</v>
      </c>
      <c r="L14" s="88"/>
      <c r="M14" s="88">
        <f>+K14/EnrOld*EnrNew*Inf</f>
        <v>108.70048897885738</v>
      </c>
      <c r="N14" s="88"/>
      <c r="O14" s="120" t="s">
        <v>277</v>
      </c>
      <c r="P14" s="2" t="str">
        <f t="shared" si="1"/>
        <v>*</v>
      </c>
      <c r="Q14" s="110">
        <v>100</v>
      </c>
      <c r="R14" s="110">
        <v>4000</v>
      </c>
      <c r="S14" s="110">
        <v>5200</v>
      </c>
      <c r="T14" s="110">
        <v>520</v>
      </c>
      <c r="U14" s="110" t="s">
        <v>303</v>
      </c>
      <c r="V14" s="111">
        <v>110.05</v>
      </c>
    </row>
    <row r="15" spans="1:22" x14ac:dyDescent="0.25">
      <c r="A15" s="42"/>
      <c r="B15" s="110">
        <v>100</v>
      </c>
      <c r="C15" s="110">
        <v>4000</v>
      </c>
      <c r="D15" s="110">
        <v>5200</v>
      </c>
      <c r="E15" s="110">
        <v>640</v>
      </c>
      <c r="F15" s="110" t="s">
        <v>337</v>
      </c>
      <c r="G15" s="88"/>
      <c r="H15" s="88"/>
      <c r="I15" s="88"/>
      <c r="J15" s="88"/>
      <c r="K15" s="111">
        <v>199.99</v>
      </c>
      <c r="L15" s="88"/>
      <c r="M15" s="88">
        <f t="shared" si="0"/>
        <v>197.53758101664417</v>
      </c>
      <c r="N15" s="88"/>
      <c r="O15" s="120" t="s">
        <v>277</v>
      </c>
      <c r="P15" s="2" t="str">
        <f t="shared" si="1"/>
        <v>*</v>
      </c>
      <c r="Q15" s="110">
        <v>100</v>
      </c>
      <c r="R15" s="110">
        <v>4000</v>
      </c>
      <c r="S15" s="110">
        <v>5200</v>
      </c>
      <c r="T15" s="110">
        <v>640</v>
      </c>
      <c r="U15" s="110" t="s">
        <v>337</v>
      </c>
      <c r="V15" s="111">
        <v>199.99</v>
      </c>
    </row>
    <row r="16" spans="1:22" hidden="1" x14ac:dyDescent="0.25">
      <c r="A16" s="42"/>
      <c r="B16" s="110">
        <v>100</v>
      </c>
      <c r="C16" s="110">
        <v>4000</v>
      </c>
      <c r="D16" s="110">
        <v>5200</v>
      </c>
      <c r="E16" s="110">
        <v>642</v>
      </c>
      <c r="F16" s="110" t="s">
        <v>338</v>
      </c>
      <c r="G16" s="88"/>
      <c r="H16" s="88"/>
      <c r="I16" s="88"/>
      <c r="J16" s="88"/>
      <c r="K16" s="111">
        <v>0</v>
      </c>
      <c r="L16" s="88"/>
      <c r="M16" s="88">
        <f t="shared" si="0"/>
        <v>0</v>
      </c>
      <c r="N16" s="88"/>
      <c r="O16" s="120" t="s">
        <v>277</v>
      </c>
      <c r="P16" s="2" t="str">
        <f t="shared" si="1"/>
        <v/>
      </c>
      <c r="Q16" s="110"/>
      <c r="R16" s="110"/>
      <c r="S16" s="110"/>
      <c r="T16" s="110"/>
      <c r="U16" s="110"/>
      <c r="V16" s="111">
        <v>0</v>
      </c>
    </row>
    <row r="17" spans="1:22" x14ac:dyDescent="0.25">
      <c r="A17" s="42"/>
      <c r="B17" s="110">
        <v>100</v>
      </c>
      <c r="C17" s="110">
        <v>4000</v>
      </c>
      <c r="D17" s="110">
        <v>5200</v>
      </c>
      <c r="E17" s="110">
        <v>690</v>
      </c>
      <c r="F17" s="110" t="s">
        <v>339</v>
      </c>
      <c r="G17" s="88"/>
      <c r="H17" s="88"/>
      <c r="I17" s="88"/>
      <c r="J17" s="88"/>
      <c r="K17" s="111">
        <v>2039</v>
      </c>
      <c r="L17" s="88"/>
      <c r="M17" s="88">
        <f t="shared" si="0"/>
        <v>2013.9963382816013</v>
      </c>
      <c r="N17" s="88"/>
      <c r="O17" s="120" t="s">
        <v>277</v>
      </c>
      <c r="P17" s="2" t="str">
        <f t="shared" ref="P17" si="2">IF(M17&gt;0.49,"*","")</f>
        <v>*</v>
      </c>
      <c r="Q17" s="110">
        <v>100</v>
      </c>
      <c r="R17" s="110">
        <v>4000</v>
      </c>
      <c r="S17" s="110">
        <v>5200</v>
      </c>
      <c r="T17" s="110">
        <v>690</v>
      </c>
      <c r="U17" s="110" t="s">
        <v>339</v>
      </c>
      <c r="V17" s="111">
        <v>2039</v>
      </c>
    </row>
    <row r="18" spans="1:22" x14ac:dyDescent="0.25">
      <c r="A18" s="42"/>
      <c r="B18" s="110">
        <v>100</v>
      </c>
      <c r="C18" s="110">
        <v>4000</v>
      </c>
      <c r="D18" s="110">
        <v>5200</v>
      </c>
      <c r="E18" s="110">
        <v>750</v>
      </c>
      <c r="F18" s="110" t="s">
        <v>304</v>
      </c>
      <c r="G18" s="88"/>
      <c r="H18" s="88"/>
      <c r="I18" s="88"/>
      <c r="J18" s="88"/>
      <c r="K18" s="111">
        <v>4153.34</v>
      </c>
      <c r="L18" s="88"/>
      <c r="M18" s="88">
        <f t="shared" si="0"/>
        <v>4102.4088041385521</v>
      </c>
      <c r="N18" s="88"/>
      <c r="O18" s="120" t="s">
        <v>277</v>
      </c>
      <c r="P18" s="2" t="str">
        <f t="shared" si="1"/>
        <v>*</v>
      </c>
      <c r="Q18" s="110">
        <v>100</v>
      </c>
      <c r="R18" s="110">
        <v>4000</v>
      </c>
      <c r="S18" s="110">
        <v>5200</v>
      </c>
      <c r="T18" s="110">
        <v>750</v>
      </c>
      <c r="U18" s="110" t="s">
        <v>304</v>
      </c>
      <c r="V18" s="111">
        <v>4153.34</v>
      </c>
    </row>
    <row r="19" spans="1:22" hidden="1" x14ac:dyDescent="0.25">
      <c r="A19" s="42"/>
      <c r="B19" s="110">
        <v>495</v>
      </c>
      <c r="C19" s="110">
        <v>4000</v>
      </c>
      <c r="D19" s="110">
        <v>5900</v>
      </c>
      <c r="E19" s="110">
        <v>310</v>
      </c>
      <c r="F19" s="110" t="s">
        <v>418</v>
      </c>
      <c r="G19" s="88"/>
      <c r="H19" s="88"/>
      <c r="I19" s="88"/>
      <c r="J19" s="88"/>
      <c r="K19" s="111">
        <v>22778.86</v>
      </c>
      <c r="L19" s="88"/>
      <c r="M19" s="88">
        <v>0</v>
      </c>
      <c r="N19" s="88"/>
      <c r="O19" s="120" t="s">
        <v>441</v>
      </c>
      <c r="P19" s="2" t="str">
        <f t="shared" si="1"/>
        <v/>
      </c>
      <c r="Q19" s="110">
        <v>495</v>
      </c>
      <c r="R19" s="110">
        <v>4000</v>
      </c>
      <c r="S19" s="110">
        <v>5900</v>
      </c>
      <c r="T19" s="110">
        <v>310</v>
      </c>
      <c r="U19" s="110" t="s">
        <v>418</v>
      </c>
      <c r="V19" s="111">
        <v>22778.86</v>
      </c>
    </row>
    <row r="20" spans="1:22" hidden="1" x14ac:dyDescent="0.25">
      <c r="A20" s="42"/>
      <c r="B20" s="110">
        <v>495</v>
      </c>
      <c r="C20" s="110">
        <v>4000</v>
      </c>
      <c r="D20" s="110">
        <v>5900</v>
      </c>
      <c r="E20" s="110">
        <v>330</v>
      </c>
      <c r="F20" s="110" t="s">
        <v>419</v>
      </c>
      <c r="G20" s="88"/>
      <c r="H20" s="88"/>
      <c r="I20" s="88"/>
      <c r="J20" s="88"/>
      <c r="K20" s="111">
        <v>19822.850000000002</v>
      </c>
      <c r="L20" s="88"/>
      <c r="M20" s="88">
        <v>0</v>
      </c>
      <c r="N20" s="88"/>
      <c r="O20" s="120" t="s">
        <v>441</v>
      </c>
      <c r="P20" s="2" t="str">
        <f t="shared" ref="P20" si="3">IF(M20&gt;0.49,"*","")</f>
        <v/>
      </c>
      <c r="Q20" s="110">
        <v>495</v>
      </c>
      <c r="R20" s="110">
        <v>4000</v>
      </c>
      <c r="S20" s="110">
        <v>5900</v>
      </c>
      <c r="T20" s="110">
        <v>330</v>
      </c>
      <c r="U20" s="110" t="s">
        <v>419</v>
      </c>
      <c r="V20" s="111">
        <v>19822.850000000002</v>
      </c>
    </row>
    <row r="21" spans="1:22" hidden="1" x14ac:dyDescent="0.25">
      <c r="A21" s="42"/>
      <c r="B21" s="110">
        <v>495</v>
      </c>
      <c r="C21" s="110">
        <v>4000</v>
      </c>
      <c r="D21" s="110">
        <v>6130</v>
      </c>
      <c r="E21" s="110">
        <v>310</v>
      </c>
      <c r="F21" s="110" t="s">
        <v>420</v>
      </c>
      <c r="G21" s="88"/>
      <c r="H21" s="88"/>
      <c r="I21" s="88"/>
      <c r="J21" s="88"/>
      <c r="K21" s="111">
        <v>9093.33</v>
      </c>
      <c r="L21" s="88"/>
      <c r="M21" s="88">
        <v>0</v>
      </c>
      <c r="N21" s="88"/>
      <c r="O21" s="120" t="s">
        <v>441</v>
      </c>
      <c r="P21" s="2" t="str">
        <f t="shared" si="1"/>
        <v/>
      </c>
      <c r="Q21" s="110">
        <v>495</v>
      </c>
      <c r="R21" s="110">
        <v>4000</v>
      </c>
      <c r="S21" s="110">
        <v>6130</v>
      </c>
      <c r="T21" s="110">
        <v>310</v>
      </c>
      <c r="U21" s="110" t="s">
        <v>420</v>
      </c>
      <c r="V21" s="111">
        <v>9093.33</v>
      </c>
    </row>
    <row r="22" spans="1:22" hidden="1" x14ac:dyDescent="0.25">
      <c r="A22" s="42"/>
      <c r="B22" s="110">
        <v>100</v>
      </c>
      <c r="C22" s="110">
        <v>4000</v>
      </c>
      <c r="D22" s="110">
        <v>6300</v>
      </c>
      <c r="E22" s="110">
        <v>590</v>
      </c>
      <c r="F22" s="110" t="s">
        <v>340</v>
      </c>
      <c r="G22" s="88"/>
      <c r="H22" s="88"/>
      <c r="I22" s="88"/>
      <c r="J22" s="88"/>
      <c r="K22" s="111">
        <v>0</v>
      </c>
      <c r="L22" s="88"/>
      <c r="M22" s="88">
        <f t="shared" si="0"/>
        <v>0</v>
      </c>
      <c r="N22" s="88"/>
      <c r="O22" s="120" t="s">
        <v>277</v>
      </c>
      <c r="P22" s="2" t="str">
        <f t="shared" si="1"/>
        <v/>
      </c>
      <c r="Q22" s="110"/>
      <c r="R22" s="110"/>
      <c r="S22" s="110"/>
      <c r="T22" s="110"/>
      <c r="U22" s="110"/>
      <c r="V22" s="111">
        <v>0</v>
      </c>
    </row>
    <row r="23" spans="1:22" x14ac:dyDescent="0.25">
      <c r="A23" s="42"/>
      <c r="B23" s="110">
        <v>100</v>
      </c>
      <c r="C23" s="110">
        <v>4000</v>
      </c>
      <c r="D23" s="110">
        <v>6400</v>
      </c>
      <c r="E23" s="110">
        <v>310</v>
      </c>
      <c r="F23" s="110" t="s">
        <v>305</v>
      </c>
      <c r="G23" s="88"/>
      <c r="H23" s="88"/>
      <c r="I23" s="88"/>
      <c r="J23" s="88"/>
      <c r="K23" s="111">
        <v>6498</v>
      </c>
      <c r="L23" s="88"/>
      <c r="M23" s="88">
        <f t="shared" si="0"/>
        <v>6418.3169230769226</v>
      </c>
      <c r="N23" s="88"/>
      <c r="O23" s="120" t="s">
        <v>277</v>
      </c>
      <c r="P23" s="2" t="str">
        <f t="shared" si="1"/>
        <v>*</v>
      </c>
      <c r="Q23" s="110">
        <v>100</v>
      </c>
      <c r="R23" s="110">
        <v>4000</v>
      </c>
      <c r="S23" s="110">
        <v>6400</v>
      </c>
      <c r="T23" s="110">
        <v>310</v>
      </c>
      <c r="U23" s="110" t="s">
        <v>305</v>
      </c>
      <c r="V23" s="111">
        <v>6498</v>
      </c>
    </row>
    <row r="24" spans="1:22" hidden="1" x14ac:dyDescent="0.25">
      <c r="A24" s="42"/>
      <c r="B24" s="110">
        <v>100</v>
      </c>
      <c r="C24" s="110">
        <v>4000</v>
      </c>
      <c r="D24" s="110">
        <v>6500</v>
      </c>
      <c r="E24" s="110">
        <v>310</v>
      </c>
      <c r="F24" s="110" t="s">
        <v>306</v>
      </c>
      <c r="G24" s="88"/>
      <c r="H24" s="88"/>
      <c r="I24" s="88"/>
      <c r="J24" s="88"/>
      <c r="K24" s="111">
        <v>0</v>
      </c>
      <c r="L24" s="88"/>
      <c r="M24" s="88">
        <f t="shared" si="0"/>
        <v>0</v>
      </c>
      <c r="N24" s="88"/>
      <c r="O24" s="120" t="s">
        <v>277</v>
      </c>
      <c r="P24" s="2" t="str">
        <f>IF(M24&gt;0.49,"*","")</f>
        <v/>
      </c>
      <c r="Q24" s="110"/>
      <c r="R24" s="110"/>
      <c r="S24" s="110"/>
      <c r="T24" s="110"/>
      <c r="U24" s="110"/>
      <c r="V24" s="111">
        <v>0</v>
      </c>
    </row>
    <row r="25" spans="1:22" x14ac:dyDescent="0.25">
      <c r="A25" s="42"/>
      <c r="B25" s="110">
        <v>100</v>
      </c>
      <c r="C25" s="110">
        <v>4000</v>
      </c>
      <c r="D25" s="110">
        <v>7100</v>
      </c>
      <c r="E25" s="110">
        <v>310</v>
      </c>
      <c r="F25" s="110" t="s">
        <v>307</v>
      </c>
      <c r="G25" s="88"/>
      <c r="H25" s="88"/>
      <c r="I25" s="88"/>
      <c r="J25" s="88"/>
      <c r="K25" s="111">
        <v>8000</v>
      </c>
      <c r="L25" s="88"/>
      <c r="M25" s="88">
        <f>K25*Inf</f>
        <v>8080</v>
      </c>
      <c r="N25" s="88"/>
      <c r="O25" s="120" t="s">
        <v>278</v>
      </c>
      <c r="P25" s="2" t="str">
        <f t="shared" si="1"/>
        <v>*</v>
      </c>
      <c r="Q25" s="110">
        <v>100</v>
      </c>
      <c r="R25" s="110">
        <v>4000</v>
      </c>
      <c r="S25" s="110">
        <v>7100</v>
      </c>
      <c r="T25" s="110">
        <v>310</v>
      </c>
      <c r="U25" s="110" t="s">
        <v>307</v>
      </c>
      <c r="V25" s="111">
        <v>8000</v>
      </c>
    </row>
    <row r="26" spans="1:22" x14ac:dyDescent="0.25">
      <c r="A26" s="42"/>
      <c r="B26" s="110">
        <v>100</v>
      </c>
      <c r="C26" s="110">
        <v>4000</v>
      </c>
      <c r="D26" s="110">
        <v>7100</v>
      </c>
      <c r="E26" s="110">
        <v>320</v>
      </c>
      <c r="F26" s="110" t="s">
        <v>308</v>
      </c>
      <c r="G26" s="88"/>
      <c r="H26" s="88"/>
      <c r="I26" s="88"/>
      <c r="J26" s="88"/>
      <c r="K26" s="111">
        <v>8084.0300000000007</v>
      </c>
      <c r="L26" s="88"/>
      <c r="M26" s="88">
        <f>K26*Inf</f>
        <v>8164.8703000000005</v>
      </c>
      <c r="N26" s="88"/>
      <c r="O26" s="120" t="s">
        <v>278</v>
      </c>
      <c r="P26" s="2" t="str">
        <f t="shared" si="1"/>
        <v>*</v>
      </c>
      <c r="Q26" s="110">
        <v>100</v>
      </c>
      <c r="R26" s="110">
        <v>4000</v>
      </c>
      <c r="S26" s="110">
        <v>7100</v>
      </c>
      <c r="T26" s="110">
        <v>320</v>
      </c>
      <c r="U26" s="110" t="s">
        <v>308</v>
      </c>
      <c r="V26" s="111">
        <v>8084.0300000000007</v>
      </c>
    </row>
    <row r="27" spans="1:22" x14ac:dyDescent="0.25">
      <c r="A27" s="42"/>
      <c r="B27" s="161">
        <v>100</v>
      </c>
      <c r="C27" s="161">
        <v>4000</v>
      </c>
      <c r="D27" s="161">
        <v>7100</v>
      </c>
      <c r="E27" s="161">
        <v>730</v>
      </c>
      <c r="F27" s="161" t="s">
        <v>309</v>
      </c>
      <c r="G27" s="140"/>
      <c r="H27" s="140"/>
      <c r="I27" s="140"/>
      <c r="J27" s="140"/>
      <c r="K27" s="162">
        <v>21883.980000000003</v>
      </c>
      <c r="L27" s="140"/>
      <c r="M27" s="140">
        <f>K27*Inf</f>
        <v>22102.819800000005</v>
      </c>
      <c r="N27" s="140"/>
      <c r="O27" s="163" t="s">
        <v>278</v>
      </c>
      <c r="P27" s="2" t="str">
        <f t="shared" si="1"/>
        <v>*</v>
      </c>
      <c r="Q27" s="110">
        <v>100</v>
      </c>
      <c r="R27" s="110">
        <v>4000</v>
      </c>
      <c r="S27" s="110">
        <v>7100</v>
      </c>
      <c r="T27" s="110">
        <v>730</v>
      </c>
      <c r="U27" s="110" t="s">
        <v>309</v>
      </c>
      <c r="V27" s="111">
        <v>21883.980000000003</v>
      </c>
    </row>
    <row r="28" spans="1:22" x14ac:dyDescent="0.25">
      <c r="A28" s="160"/>
      <c r="B28" s="161">
        <v>100</v>
      </c>
      <c r="C28" s="161">
        <v>4000</v>
      </c>
      <c r="D28" s="161">
        <v>7100</v>
      </c>
      <c r="E28" s="161">
        <v>790</v>
      </c>
      <c r="F28" s="161" t="s">
        <v>152</v>
      </c>
      <c r="G28" s="140"/>
      <c r="H28" s="140"/>
      <c r="I28" s="140"/>
      <c r="J28" s="140"/>
      <c r="K28" s="162">
        <v>8889</v>
      </c>
      <c r="L28" s="140"/>
      <c r="M28" s="140">
        <v>18470</v>
      </c>
      <c r="N28" s="140"/>
      <c r="O28" s="163" t="s">
        <v>442</v>
      </c>
      <c r="P28" s="2" t="str">
        <f t="shared" ref="P28" si="4">IF(M28&gt;0.49,"*","")</f>
        <v>*</v>
      </c>
      <c r="Q28" s="110">
        <v>100</v>
      </c>
      <c r="R28" s="110">
        <v>4000</v>
      </c>
      <c r="S28" s="110">
        <v>7100</v>
      </c>
      <c r="T28" s="110">
        <v>790</v>
      </c>
      <c r="U28" s="110" t="s">
        <v>152</v>
      </c>
      <c r="V28" s="111">
        <v>8889</v>
      </c>
    </row>
    <row r="29" spans="1:22" x14ac:dyDescent="0.25">
      <c r="A29" s="42"/>
      <c r="B29" s="161">
        <v>100</v>
      </c>
      <c r="C29" s="161">
        <v>4000</v>
      </c>
      <c r="D29" s="161">
        <v>7100</v>
      </c>
      <c r="E29" s="161">
        <v>795</v>
      </c>
      <c r="F29" s="161" t="s">
        <v>310</v>
      </c>
      <c r="G29" s="140"/>
      <c r="H29" s="140"/>
      <c r="I29" s="140"/>
      <c r="J29" s="140"/>
      <c r="K29" s="162">
        <v>266.5</v>
      </c>
      <c r="L29" s="140"/>
      <c r="M29" s="140">
        <f t="shared" ref="M29:M30" si="5">+K29*Inf</f>
        <v>269.16500000000002</v>
      </c>
      <c r="N29" s="140"/>
      <c r="O29" s="163" t="s">
        <v>278</v>
      </c>
      <c r="P29" s="2" t="str">
        <f t="shared" si="1"/>
        <v>*</v>
      </c>
      <c r="Q29" s="110">
        <v>100</v>
      </c>
      <c r="R29" s="110">
        <v>4000</v>
      </c>
      <c r="S29" s="110">
        <v>7100</v>
      </c>
      <c r="T29" s="110">
        <v>795</v>
      </c>
      <c r="U29" s="110" t="s">
        <v>310</v>
      </c>
      <c r="V29" s="111">
        <v>266.5</v>
      </c>
    </row>
    <row r="30" spans="1:22" hidden="1" x14ac:dyDescent="0.25">
      <c r="A30" s="42"/>
      <c r="B30" s="161">
        <v>100</v>
      </c>
      <c r="C30" s="161">
        <v>4000</v>
      </c>
      <c r="D30" s="161">
        <v>7300</v>
      </c>
      <c r="E30" s="161">
        <v>310</v>
      </c>
      <c r="F30" s="161" t="s">
        <v>148</v>
      </c>
      <c r="G30" s="140"/>
      <c r="H30" s="140"/>
      <c r="I30" s="140"/>
      <c r="J30" s="140"/>
      <c r="K30" s="162">
        <v>0</v>
      </c>
      <c r="L30" s="140"/>
      <c r="M30" s="140">
        <f t="shared" si="5"/>
        <v>0</v>
      </c>
      <c r="N30" s="140"/>
      <c r="O30" s="163" t="s">
        <v>278</v>
      </c>
      <c r="P30" s="2" t="str">
        <f t="shared" si="1"/>
        <v/>
      </c>
      <c r="Q30" s="110"/>
      <c r="R30" s="110"/>
      <c r="S30" s="110"/>
      <c r="T30" s="110"/>
      <c r="U30" s="110"/>
      <c r="V30" s="111">
        <v>0</v>
      </c>
    </row>
    <row r="31" spans="1:22" x14ac:dyDescent="0.25">
      <c r="A31" s="42"/>
      <c r="B31" s="161">
        <v>100</v>
      </c>
      <c r="C31" s="161">
        <v>4000</v>
      </c>
      <c r="D31" s="161">
        <v>7300</v>
      </c>
      <c r="E31" s="161">
        <v>320</v>
      </c>
      <c r="F31" s="161" t="s">
        <v>149</v>
      </c>
      <c r="G31" s="140"/>
      <c r="H31" s="140"/>
      <c r="I31" s="140"/>
      <c r="J31" s="140"/>
      <c r="K31" s="162">
        <v>3140.01</v>
      </c>
      <c r="L31" s="140"/>
      <c r="M31" s="140">
        <f t="shared" ref="M31:M35" si="6">+K31*Inf</f>
        <v>3171.4101000000001</v>
      </c>
      <c r="N31" s="140"/>
      <c r="O31" s="163" t="s">
        <v>278</v>
      </c>
      <c r="P31" s="2" t="str">
        <f t="shared" si="1"/>
        <v>*</v>
      </c>
      <c r="Q31" s="110">
        <v>100</v>
      </c>
      <c r="R31" s="110">
        <v>4000</v>
      </c>
      <c r="S31" s="110">
        <v>7300</v>
      </c>
      <c r="T31" s="110">
        <v>320</v>
      </c>
      <c r="U31" s="110" t="s">
        <v>149</v>
      </c>
      <c r="V31" s="111">
        <v>3140.01</v>
      </c>
    </row>
    <row r="32" spans="1:22" x14ac:dyDescent="0.25">
      <c r="A32" s="42"/>
      <c r="B32" s="161">
        <v>100</v>
      </c>
      <c r="C32" s="161">
        <v>4000</v>
      </c>
      <c r="D32" s="161">
        <v>7300</v>
      </c>
      <c r="E32" s="161">
        <v>330</v>
      </c>
      <c r="F32" s="161" t="s">
        <v>311</v>
      </c>
      <c r="G32" s="140"/>
      <c r="H32" s="140"/>
      <c r="I32" s="140"/>
      <c r="J32" s="140"/>
      <c r="K32" s="162">
        <v>7110</v>
      </c>
      <c r="L32" s="140"/>
      <c r="M32" s="140">
        <f t="shared" si="6"/>
        <v>7181.1</v>
      </c>
      <c r="N32" s="140"/>
      <c r="O32" s="163" t="s">
        <v>278</v>
      </c>
      <c r="P32" s="2" t="str">
        <f t="shared" si="1"/>
        <v>*</v>
      </c>
      <c r="Q32" s="110">
        <v>100</v>
      </c>
      <c r="R32" s="110">
        <v>4000</v>
      </c>
      <c r="S32" s="110">
        <v>7300</v>
      </c>
      <c r="T32" s="110">
        <v>330</v>
      </c>
      <c r="U32" s="110" t="s">
        <v>311</v>
      </c>
      <c r="V32" s="111">
        <v>7110</v>
      </c>
    </row>
    <row r="33" spans="1:22" x14ac:dyDescent="0.25">
      <c r="A33" s="42"/>
      <c r="B33" s="161">
        <v>100</v>
      </c>
      <c r="C33" s="161">
        <v>4000</v>
      </c>
      <c r="D33" s="161">
        <v>7300</v>
      </c>
      <c r="E33" s="161">
        <v>370</v>
      </c>
      <c r="F33" s="161" t="s">
        <v>312</v>
      </c>
      <c r="G33" s="140"/>
      <c r="H33" s="140"/>
      <c r="I33" s="140"/>
      <c r="J33" s="140"/>
      <c r="K33" s="162">
        <v>1757.1099999999997</v>
      </c>
      <c r="L33" s="140"/>
      <c r="M33" s="140">
        <f t="shared" si="6"/>
        <v>1774.6810999999998</v>
      </c>
      <c r="N33" s="140"/>
      <c r="O33" s="163" t="s">
        <v>278</v>
      </c>
      <c r="P33" s="2" t="str">
        <f t="shared" si="1"/>
        <v>*</v>
      </c>
      <c r="Q33" s="110">
        <v>100</v>
      </c>
      <c r="R33" s="110">
        <v>4000</v>
      </c>
      <c r="S33" s="110">
        <v>7300</v>
      </c>
      <c r="T33" s="110">
        <v>370</v>
      </c>
      <c r="U33" s="110" t="s">
        <v>312</v>
      </c>
      <c r="V33" s="111">
        <v>1757.1099999999997</v>
      </c>
    </row>
    <row r="34" spans="1:22" x14ac:dyDescent="0.25">
      <c r="A34" s="42"/>
      <c r="B34" s="161">
        <v>100</v>
      </c>
      <c r="C34" s="161">
        <v>4000</v>
      </c>
      <c r="D34" s="161">
        <v>7300</v>
      </c>
      <c r="E34" s="161">
        <v>390</v>
      </c>
      <c r="F34" s="161" t="s">
        <v>313</v>
      </c>
      <c r="G34" s="140"/>
      <c r="H34" s="140"/>
      <c r="I34" s="140"/>
      <c r="J34" s="140"/>
      <c r="K34" s="162">
        <v>5724.9</v>
      </c>
      <c r="L34" s="140"/>
      <c r="M34" s="140">
        <f t="shared" si="6"/>
        <v>5782.1489999999994</v>
      </c>
      <c r="N34" s="140"/>
      <c r="O34" s="163" t="s">
        <v>278</v>
      </c>
      <c r="P34" s="2" t="str">
        <f t="shared" ref="P34" si="7">IF(M34&gt;0.49,"*","")</f>
        <v>*</v>
      </c>
      <c r="Q34" s="110">
        <v>100</v>
      </c>
      <c r="R34" s="110">
        <v>4000</v>
      </c>
      <c r="S34" s="110">
        <v>7300</v>
      </c>
      <c r="T34" s="110">
        <v>390</v>
      </c>
      <c r="U34" s="110" t="s">
        <v>313</v>
      </c>
      <c r="V34" s="111">
        <v>5724.9</v>
      </c>
    </row>
    <row r="35" spans="1:22" x14ac:dyDescent="0.25">
      <c r="A35" s="42"/>
      <c r="B35" s="161">
        <v>100</v>
      </c>
      <c r="C35" s="161">
        <v>4000</v>
      </c>
      <c r="D35" s="161">
        <v>7300</v>
      </c>
      <c r="E35" s="161">
        <v>510</v>
      </c>
      <c r="F35" s="161" t="s">
        <v>314</v>
      </c>
      <c r="G35" s="140"/>
      <c r="H35" s="140"/>
      <c r="I35" s="140"/>
      <c r="J35" s="140"/>
      <c r="K35" s="162">
        <v>4729.7800000000007</v>
      </c>
      <c r="L35" s="140"/>
      <c r="M35" s="140">
        <f t="shared" si="6"/>
        <v>4777.0778000000009</v>
      </c>
      <c r="N35" s="140"/>
      <c r="O35" s="163" t="s">
        <v>278</v>
      </c>
      <c r="P35" s="2" t="str">
        <f t="shared" si="1"/>
        <v>*</v>
      </c>
      <c r="Q35" s="110">
        <v>100</v>
      </c>
      <c r="R35" s="110">
        <v>4000</v>
      </c>
      <c r="S35" s="110">
        <v>7300</v>
      </c>
      <c r="T35" s="110">
        <v>510</v>
      </c>
      <c r="U35" s="110" t="s">
        <v>314</v>
      </c>
      <c r="V35" s="111">
        <v>4729.7800000000007</v>
      </c>
    </row>
    <row r="36" spans="1:22" x14ac:dyDescent="0.25">
      <c r="A36" s="42"/>
      <c r="B36" s="161">
        <v>100</v>
      </c>
      <c r="C36" s="161">
        <v>4000</v>
      </c>
      <c r="D36" s="161">
        <v>7400</v>
      </c>
      <c r="E36" s="161">
        <v>360</v>
      </c>
      <c r="F36" s="161" t="s">
        <v>315</v>
      </c>
      <c r="G36" s="140"/>
      <c r="H36" s="140"/>
      <c r="I36" s="140"/>
      <c r="J36" s="140"/>
      <c r="K36" s="162">
        <v>21000</v>
      </c>
      <c r="L36" s="140"/>
      <c r="M36" s="140">
        <f>K36</f>
        <v>21000</v>
      </c>
      <c r="N36" s="140"/>
      <c r="O36" s="163" t="s">
        <v>282</v>
      </c>
      <c r="P36" s="2" t="str">
        <f t="shared" si="1"/>
        <v>*</v>
      </c>
      <c r="Q36" s="110">
        <v>100</v>
      </c>
      <c r="R36" s="110">
        <v>4000</v>
      </c>
      <c r="S36" s="110">
        <v>7400</v>
      </c>
      <c r="T36" s="110">
        <v>360</v>
      </c>
      <c r="U36" s="110" t="s">
        <v>315</v>
      </c>
      <c r="V36" s="111">
        <v>21000</v>
      </c>
    </row>
    <row r="37" spans="1:22" hidden="1" x14ac:dyDescent="0.25">
      <c r="A37" s="42"/>
      <c r="B37" s="161">
        <v>100</v>
      </c>
      <c r="C37" s="161">
        <v>4000</v>
      </c>
      <c r="D37" s="161">
        <v>7400</v>
      </c>
      <c r="E37" s="161">
        <v>630</v>
      </c>
      <c r="F37" s="161" t="s">
        <v>341</v>
      </c>
      <c r="G37" s="140"/>
      <c r="H37" s="140"/>
      <c r="I37" s="140"/>
      <c r="J37" s="140"/>
      <c r="K37" s="162">
        <v>0</v>
      </c>
      <c r="L37" s="140"/>
      <c r="M37" s="162">
        <f>K37*Inf</f>
        <v>0</v>
      </c>
      <c r="N37" s="140"/>
      <c r="O37" s="163" t="s">
        <v>278</v>
      </c>
      <c r="P37" s="2" t="str">
        <f>IF(M37&gt;0.49,"*","")</f>
        <v/>
      </c>
      <c r="Q37" s="110"/>
      <c r="R37" s="110"/>
      <c r="S37" s="110"/>
      <c r="T37" s="110"/>
      <c r="U37" s="110"/>
      <c r="V37" s="111">
        <v>0</v>
      </c>
    </row>
    <row r="38" spans="1:22" x14ac:dyDescent="0.25">
      <c r="A38" s="160"/>
      <c r="B38" s="161">
        <v>100</v>
      </c>
      <c r="C38" s="161">
        <v>4000</v>
      </c>
      <c r="D38" s="161">
        <v>7500</v>
      </c>
      <c r="E38" s="161">
        <v>310</v>
      </c>
      <c r="F38" s="161" t="s">
        <v>316</v>
      </c>
      <c r="G38" s="140"/>
      <c r="H38" s="140"/>
      <c r="I38" s="140"/>
      <c r="J38" s="140"/>
      <c r="K38" s="162">
        <v>21986.69</v>
      </c>
      <c r="L38" s="140"/>
      <c r="M38" s="162">
        <f>+'Rev Input'!M48</f>
        <v>22793.992630679262</v>
      </c>
      <c r="N38" s="140"/>
      <c r="O38" s="163" t="s">
        <v>443</v>
      </c>
      <c r="P38" s="2" t="str">
        <f t="shared" si="1"/>
        <v>*</v>
      </c>
      <c r="Q38" s="110">
        <v>100</v>
      </c>
      <c r="R38" s="110">
        <v>4000</v>
      </c>
      <c r="S38" s="110">
        <v>7500</v>
      </c>
      <c r="T38" s="110">
        <v>310</v>
      </c>
      <c r="U38" s="110" t="s">
        <v>316</v>
      </c>
      <c r="V38" s="111">
        <v>21986.69</v>
      </c>
    </row>
    <row r="39" spans="1:22" x14ac:dyDescent="0.25">
      <c r="A39" s="42"/>
      <c r="B39" s="161">
        <v>100</v>
      </c>
      <c r="C39" s="161">
        <v>4000</v>
      </c>
      <c r="D39" s="161">
        <v>7500</v>
      </c>
      <c r="E39" s="161">
        <v>311</v>
      </c>
      <c r="F39" s="161" t="s">
        <v>317</v>
      </c>
      <c r="G39" s="140"/>
      <c r="H39" s="140"/>
      <c r="I39" s="140"/>
      <c r="J39" s="140"/>
      <c r="K39" s="162">
        <v>4928.16</v>
      </c>
      <c r="L39" s="140"/>
      <c r="M39" s="140">
        <f t="shared" ref="M39" si="8">+K39/EnrOld*EnrNew*Inf</f>
        <v>4867.72741268556</v>
      </c>
      <c r="N39" s="140"/>
      <c r="O39" s="163" t="s">
        <v>277</v>
      </c>
      <c r="P39" s="2" t="str">
        <f t="shared" si="1"/>
        <v>*</v>
      </c>
      <c r="Q39" s="110">
        <v>100</v>
      </c>
      <c r="R39" s="110">
        <v>4000</v>
      </c>
      <c r="S39" s="110">
        <v>7500</v>
      </c>
      <c r="T39" s="110">
        <v>311</v>
      </c>
      <c r="U39" s="110" t="s">
        <v>317</v>
      </c>
      <c r="V39" s="111">
        <v>4928.16</v>
      </c>
    </row>
    <row r="40" spans="1:22" x14ac:dyDescent="0.25">
      <c r="A40" s="42"/>
      <c r="B40" s="110">
        <v>100</v>
      </c>
      <c r="C40" s="110">
        <v>4000</v>
      </c>
      <c r="D40" s="110">
        <v>7800</v>
      </c>
      <c r="E40" s="110">
        <v>350</v>
      </c>
      <c r="F40" s="110" t="s">
        <v>318</v>
      </c>
      <c r="G40" s="88"/>
      <c r="H40" s="88"/>
      <c r="I40" s="88"/>
      <c r="J40" s="88"/>
      <c r="K40" s="111">
        <v>74538.14</v>
      </c>
      <c r="L40" s="88"/>
      <c r="M40" s="88">
        <f>+(K40+K41)/EnrOld*EnrNew*Inf</f>
        <v>89063.797501034613</v>
      </c>
      <c r="N40" s="88"/>
      <c r="O40" s="120" t="s">
        <v>277</v>
      </c>
      <c r="P40" s="2" t="str">
        <f t="shared" si="1"/>
        <v>*</v>
      </c>
      <c r="Q40" s="110">
        <v>100</v>
      </c>
      <c r="R40" s="110">
        <v>4000</v>
      </c>
      <c r="S40" s="110">
        <v>7800</v>
      </c>
      <c r="T40" s="110">
        <v>350</v>
      </c>
      <c r="U40" s="110" t="s">
        <v>318</v>
      </c>
      <c r="V40" s="111">
        <v>74538.14</v>
      </c>
    </row>
    <row r="41" spans="1:22" hidden="1" x14ac:dyDescent="0.25">
      <c r="A41" s="42"/>
      <c r="B41" s="110">
        <v>495</v>
      </c>
      <c r="C41" s="110">
        <v>4000</v>
      </c>
      <c r="D41" s="110">
        <v>7800</v>
      </c>
      <c r="E41" s="110">
        <v>350</v>
      </c>
      <c r="F41" s="110" t="s">
        <v>421</v>
      </c>
      <c r="G41" s="88"/>
      <c r="H41" s="88"/>
      <c r="I41" s="88"/>
      <c r="J41" s="88"/>
      <c r="K41" s="111">
        <v>15631.379999999997</v>
      </c>
      <c r="L41" s="88"/>
      <c r="M41" s="88">
        <v>0</v>
      </c>
      <c r="N41" s="88"/>
      <c r="O41" s="120" t="s">
        <v>441</v>
      </c>
      <c r="P41" s="2" t="str">
        <f t="shared" si="1"/>
        <v/>
      </c>
      <c r="Q41" s="110">
        <v>495</v>
      </c>
      <c r="R41" s="110">
        <v>4000</v>
      </c>
      <c r="S41" s="110">
        <v>7800</v>
      </c>
      <c r="T41" s="110">
        <v>350</v>
      </c>
      <c r="U41" s="110" t="s">
        <v>421</v>
      </c>
      <c r="V41" s="111">
        <v>15631.379999999997</v>
      </c>
    </row>
    <row r="42" spans="1:22" x14ac:dyDescent="0.25">
      <c r="A42" s="42"/>
      <c r="B42" s="110">
        <v>100</v>
      </c>
      <c r="C42" s="110">
        <v>4000</v>
      </c>
      <c r="D42" s="110">
        <v>7800</v>
      </c>
      <c r="E42" s="110">
        <v>550</v>
      </c>
      <c r="F42" s="110" t="s">
        <v>320</v>
      </c>
      <c r="G42" s="88"/>
      <c r="H42" s="88"/>
      <c r="I42" s="88"/>
      <c r="J42" s="88"/>
      <c r="K42" s="111">
        <v>1803.75</v>
      </c>
      <c r="L42" s="88"/>
      <c r="M42" s="88">
        <f>+K42*Inf</f>
        <v>1821.7874999999999</v>
      </c>
      <c r="N42" s="88"/>
      <c r="O42" s="120" t="s">
        <v>278</v>
      </c>
      <c r="P42" s="2" t="str">
        <f t="shared" si="1"/>
        <v>*</v>
      </c>
      <c r="Q42" s="110">
        <v>100</v>
      </c>
      <c r="R42" s="110">
        <v>4000</v>
      </c>
      <c r="S42" s="110">
        <v>7800</v>
      </c>
      <c r="T42" s="110">
        <v>550</v>
      </c>
      <c r="U42" s="110" t="s">
        <v>320</v>
      </c>
      <c r="V42" s="111">
        <v>1803.75</v>
      </c>
    </row>
    <row r="43" spans="1:22" x14ac:dyDescent="0.25">
      <c r="A43" s="42"/>
      <c r="B43" s="110">
        <v>100</v>
      </c>
      <c r="C43" s="110">
        <v>4000</v>
      </c>
      <c r="D43" s="110">
        <v>7900</v>
      </c>
      <c r="E43" s="110">
        <v>320</v>
      </c>
      <c r="F43" s="110" t="s">
        <v>321</v>
      </c>
      <c r="G43" s="88"/>
      <c r="H43" s="88"/>
      <c r="I43" s="88"/>
      <c r="J43" s="88"/>
      <c r="K43" s="111">
        <v>3040.01</v>
      </c>
      <c r="L43" s="88"/>
      <c r="M43" s="88">
        <f t="shared" ref="M43:M48" si="9">+K43*Inf</f>
        <v>3070.4101000000001</v>
      </c>
      <c r="N43" s="88"/>
      <c r="O43" s="120" t="s">
        <v>278</v>
      </c>
      <c r="P43" s="2" t="str">
        <f t="shared" si="1"/>
        <v>*</v>
      </c>
      <c r="Q43" s="110">
        <v>100</v>
      </c>
      <c r="R43" s="110">
        <v>4000</v>
      </c>
      <c r="S43" s="110">
        <v>7900</v>
      </c>
      <c r="T43" s="110">
        <v>320</v>
      </c>
      <c r="U43" s="110" t="s">
        <v>321</v>
      </c>
      <c r="V43" s="111">
        <v>3040.01</v>
      </c>
    </row>
    <row r="44" spans="1:22" x14ac:dyDescent="0.25">
      <c r="A44" s="42"/>
      <c r="B44" s="110">
        <v>100</v>
      </c>
      <c r="C44" s="110">
        <v>4000</v>
      </c>
      <c r="D44" s="110">
        <v>7900</v>
      </c>
      <c r="E44" s="110">
        <v>360</v>
      </c>
      <c r="F44" s="110" t="s">
        <v>322</v>
      </c>
      <c r="G44" s="88"/>
      <c r="H44" s="88"/>
      <c r="I44" s="88"/>
      <c r="J44" s="88"/>
      <c r="K44" s="111">
        <v>1090</v>
      </c>
      <c r="L44" s="88"/>
      <c r="M44" s="88">
        <f t="shared" si="9"/>
        <v>1100.9000000000001</v>
      </c>
      <c r="N44" s="88"/>
      <c r="O44" s="120" t="s">
        <v>278</v>
      </c>
      <c r="P44" s="2" t="str">
        <f t="shared" si="1"/>
        <v>*</v>
      </c>
      <c r="Q44" s="110">
        <v>100</v>
      </c>
      <c r="R44" s="110">
        <v>4000</v>
      </c>
      <c r="S44" s="110">
        <v>7900</v>
      </c>
      <c r="T44" s="110">
        <v>360</v>
      </c>
      <c r="U44" s="110" t="s">
        <v>322</v>
      </c>
      <c r="V44" s="111">
        <v>1090</v>
      </c>
    </row>
    <row r="45" spans="1:22" x14ac:dyDescent="0.25">
      <c r="A45" s="42"/>
      <c r="B45" s="110">
        <v>100</v>
      </c>
      <c r="C45" s="110">
        <v>4000</v>
      </c>
      <c r="D45" s="110">
        <v>7900</v>
      </c>
      <c r="E45" s="110">
        <v>370</v>
      </c>
      <c r="F45" s="110" t="s">
        <v>323</v>
      </c>
      <c r="G45" s="88"/>
      <c r="H45" s="88"/>
      <c r="I45" s="88"/>
      <c r="J45" s="88"/>
      <c r="K45" s="111">
        <v>6008.6200000000008</v>
      </c>
      <c r="L45" s="88"/>
      <c r="M45" s="88">
        <f t="shared" si="9"/>
        <v>6068.7062000000005</v>
      </c>
      <c r="N45" s="88"/>
      <c r="O45" s="120" t="s">
        <v>278</v>
      </c>
      <c r="P45" s="2" t="str">
        <f t="shared" si="1"/>
        <v>*</v>
      </c>
      <c r="Q45" s="110">
        <v>100</v>
      </c>
      <c r="R45" s="110">
        <v>4000</v>
      </c>
      <c r="S45" s="110">
        <v>7900</v>
      </c>
      <c r="T45" s="110">
        <v>370</v>
      </c>
      <c r="U45" s="110" t="s">
        <v>323</v>
      </c>
      <c r="V45" s="111">
        <v>6008.6200000000008</v>
      </c>
    </row>
    <row r="46" spans="1:22" x14ac:dyDescent="0.25">
      <c r="A46" s="42"/>
      <c r="B46" s="110">
        <v>100</v>
      </c>
      <c r="C46" s="110">
        <v>4000</v>
      </c>
      <c r="D46" s="110">
        <v>7900</v>
      </c>
      <c r="E46" s="110">
        <v>380</v>
      </c>
      <c r="F46" s="110" t="s">
        <v>324</v>
      </c>
      <c r="G46" s="88"/>
      <c r="H46" s="88"/>
      <c r="I46" s="88"/>
      <c r="J46" s="88"/>
      <c r="K46" s="111">
        <v>2799.01</v>
      </c>
      <c r="L46" s="88"/>
      <c r="M46" s="88">
        <f t="shared" si="9"/>
        <v>2827.0001000000002</v>
      </c>
      <c r="N46" s="88"/>
      <c r="O46" s="120" t="s">
        <v>278</v>
      </c>
      <c r="P46" s="2" t="str">
        <f t="shared" si="1"/>
        <v>*</v>
      </c>
      <c r="Q46" s="110">
        <v>100</v>
      </c>
      <c r="R46" s="110">
        <v>4000</v>
      </c>
      <c r="S46" s="110">
        <v>7900</v>
      </c>
      <c r="T46" s="110">
        <v>380</v>
      </c>
      <c r="U46" s="110" t="s">
        <v>324</v>
      </c>
      <c r="V46" s="111">
        <v>2799.01</v>
      </c>
    </row>
    <row r="47" spans="1:22" x14ac:dyDescent="0.25">
      <c r="A47" s="42"/>
      <c r="B47" s="110">
        <v>100</v>
      </c>
      <c r="C47" s="110">
        <v>4000</v>
      </c>
      <c r="D47" s="110">
        <v>7900</v>
      </c>
      <c r="E47" s="110">
        <v>390</v>
      </c>
      <c r="F47" s="110" t="s">
        <v>325</v>
      </c>
      <c r="G47" s="88"/>
      <c r="H47" s="88"/>
      <c r="I47" s="88"/>
      <c r="J47" s="88"/>
      <c r="K47" s="111">
        <v>969.13</v>
      </c>
      <c r="L47" s="88"/>
      <c r="M47" s="88">
        <f t="shared" ref="M47" si="10">+K47*Inf</f>
        <v>978.82129999999995</v>
      </c>
      <c r="N47" s="88"/>
      <c r="O47" s="120" t="s">
        <v>278</v>
      </c>
      <c r="P47" s="2" t="str">
        <f t="shared" ref="P47" si="11">IF(M47&gt;0.49,"*","")</f>
        <v>*</v>
      </c>
      <c r="Q47" s="110">
        <v>100</v>
      </c>
      <c r="R47" s="110">
        <v>4000</v>
      </c>
      <c r="S47" s="110">
        <v>7900</v>
      </c>
      <c r="T47" s="110">
        <v>390</v>
      </c>
      <c r="U47" s="110" t="s">
        <v>325</v>
      </c>
      <c r="V47" s="111">
        <v>969.13</v>
      </c>
    </row>
    <row r="48" spans="1:22" x14ac:dyDescent="0.25">
      <c r="A48" s="42"/>
      <c r="B48" s="110">
        <v>100</v>
      </c>
      <c r="C48" s="110">
        <v>4000</v>
      </c>
      <c r="D48" s="110">
        <v>7900</v>
      </c>
      <c r="E48" s="110">
        <v>430</v>
      </c>
      <c r="F48" s="110" t="s">
        <v>326</v>
      </c>
      <c r="G48" s="88"/>
      <c r="H48" s="88"/>
      <c r="I48" s="88"/>
      <c r="J48" s="88"/>
      <c r="K48" s="111">
        <v>6287.42</v>
      </c>
      <c r="L48" s="88"/>
      <c r="M48" s="88">
        <f t="shared" si="9"/>
        <v>6350.2942000000003</v>
      </c>
      <c r="N48" s="88"/>
      <c r="O48" s="120" t="s">
        <v>278</v>
      </c>
      <c r="P48" s="2" t="str">
        <f t="shared" si="1"/>
        <v>*</v>
      </c>
      <c r="Q48" s="110">
        <v>100</v>
      </c>
      <c r="R48" s="110">
        <v>4000</v>
      </c>
      <c r="S48" s="110">
        <v>7900</v>
      </c>
      <c r="T48" s="110">
        <v>430</v>
      </c>
      <c r="U48" s="110" t="s">
        <v>326</v>
      </c>
      <c r="V48" s="111">
        <v>6287.42</v>
      </c>
    </row>
    <row r="49" spans="1:22" x14ac:dyDescent="0.25">
      <c r="A49" s="42"/>
      <c r="B49" s="110">
        <v>100</v>
      </c>
      <c r="C49" s="110">
        <v>4000</v>
      </c>
      <c r="D49" s="110">
        <v>7900</v>
      </c>
      <c r="E49" s="110">
        <v>510</v>
      </c>
      <c r="F49" s="110" t="s">
        <v>327</v>
      </c>
      <c r="G49" s="88"/>
      <c r="H49" s="88"/>
      <c r="I49" s="88"/>
      <c r="J49" s="88"/>
      <c r="K49" s="111">
        <v>2753.1000000000004</v>
      </c>
      <c r="L49" s="88"/>
      <c r="M49" s="88">
        <f t="shared" ref="M49:M52" si="12">+K49*Inf</f>
        <v>2780.6310000000003</v>
      </c>
      <c r="N49" s="88"/>
      <c r="O49" s="120" t="s">
        <v>278</v>
      </c>
      <c r="P49" s="2" t="str">
        <f t="shared" si="1"/>
        <v>*</v>
      </c>
      <c r="Q49" s="110">
        <v>100</v>
      </c>
      <c r="R49" s="110">
        <v>4000</v>
      </c>
      <c r="S49" s="110">
        <v>7900</v>
      </c>
      <c r="T49" s="110">
        <v>510</v>
      </c>
      <c r="U49" s="110" t="s">
        <v>327</v>
      </c>
      <c r="V49" s="111">
        <v>2753.1000000000004</v>
      </c>
    </row>
    <row r="50" spans="1:22" hidden="1" x14ac:dyDescent="0.25">
      <c r="A50" s="42"/>
      <c r="B50" s="110">
        <v>100</v>
      </c>
      <c r="C50" s="110">
        <v>4000</v>
      </c>
      <c r="D50" s="110">
        <v>7900</v>
      </c>
      <c r="E50" s="110">
        <v>640</v>
      </c>
      <c r="F50" s="110" t="s">
        <v>343</v>
      </c>
      <c r="G50" s="88"/>
      <c r="H50" s="88"/>
      <c r="I50" s="88"/>
      <c r="J50" s="88"/>
      <c r="K50" s="111">
        <v>0</v>
      </c>
      <c r="L50" s="88"/>
      <c r="M50" s="88">
        <f t="shared" si="12"/>
        <v>0</v>
      </c>
      <c r="N50" s="88"/>
      <c r="O50" s="120" t="s">
        <v>278</v>
      </c>
      <c r="P50" s="2" t="str">
        <f t="shared" si="1"/>
        <v/>
      </c>
      <c r="Q50" s="110"/>
      <c r="R50" s="110"/>
      <c r="S50" s="110"/>
      <c r="T50" s="110"/>
      <c r="U50" s="110"/>
      <c r="V50" s="111">
        <v>0</v>
      </c>
    </row>
    <row r="51" spans="1:22" x14ac:dyDescent="0.25">
      <c r="A51" s="42"/>
      <c r="B51" s="110">
        <v>100</v>
      </c>
      <c r="C51" s="110">
        <v>4000</v>
      </c>
      <c r="D51" s="110">
        <v>8100</v>
      </c>
      <c r="E51" s="110">
        <v>350</v>
      </c>
      <c r="F51" s="110" t="s">
        <v>328</v>
      </c>
      <c r="G51" s="88"/>
      <c r="H51" s="88"/>
      <c r="I51" s="88"/>
      <c r="J51" s="88"/>
      <c r="K51" s="111">
        <v>9560.2199999999993</v>
      </c>
      <c r="L51" s="88"/>
      <c r="M51" s="88">
        <f t="shared" si="12"/>
        <v>9655.8221999999987</v>
      </c>
      <c r="N51" s="88"/>
      <c r="O51" s="120" t="s">
        <v>278</v>
      </c>
      <c r="P51" s="2" t="str">
        <f t="shared" si="1"/>
        <v>*</v>
      </c>
      <c r="Q51" s="110">
        <v>100</v>
      </c>
      <c r="R51" s="110">
        <v>4000</v>
      </c>
      <c r="S51" s="110">
        <v>8100</v>
      </c>
      <c r="T51" s="110">
        <v>350</v>
      </c>
      <c r="U51" s="110" t="s">
        <v>328</v>
      </c>
      <c r="V51" s="111">
        <v>9560.2199999999993</v>
      </c>
    </row>
    <row r="52" spans="1:22" x14ac:dyDescent="0.25">
      <c r="A52" s="42"/>
      <c r="B52" s="110">
        <v>100</v>
      </c>
      <c r="C52" s="110">
        <v>4000</v>
      </c>
      <c r="D52" s="110">
        <v>9100</v>
      </c>
      <c r="E52" s="110">
        <v>705</v>
      </c>
      <c r="F52" s="110" t="s">
        <v>297</v>
      </c>
      <c r="G52" s="88"/>
      <c r="H52" s="88"/>
      <c r="I52" s="88"/>
      <c r="J52" s="88"/>
      <c r="K52" s="111">
        <v>4393.9799999999996</v>
      </c>
      <c r="L52" s="88"/>
      <c r="M52" s="88">
        <f t="shared" si="12"/>
        <v>4437.9197999999997</v>
      </c>
      <c r="N52" s="88"/>
      <c r="O52" s="120" t="s">
        <v>278</v>
      </c>
      <c r="P52" s="2" t="str">
        <f t="shared" si="1"/>
        <v>*</v>
      </c>
      <c r="Q52" s="110">
        <v>100</v>
      </c>
      <c r="R52" s="110">
        <v>4000</v>
      </c>
      <c r="S52" s="110">
        <v>9100</v>
      </c>
      <c r="T52" s="110">
        <v>705</v>
      </c>
      <c r="U52" s="110" t="s">
        <v>297</v>
      </c>
      <c r="V52" s="111">
        <v>4393.9799999999996</v>
      </c>
    </row>
    <row r="53" spans="1:22" hidden="1" x14ac:dyDescent="0.25">
      <c r="A53" s="42"/>
      <c r="B53" s="110"/>
      <c r="C53" s="110"/>
      <c r="D53" s="110"/>
      <c r="E53" s="110"/>
      <c r="F53" s="110"/>
      <c r="G53" s="88"/>
      <c r="H53" s="88"/>
      <c r="I53" s="88"/>
      <c r="J53" s="88"/>
      <c r="K53" s="111"/>
      <c r="L53" s="88"/>
      <c r="M53" s="88"/>
      <c r="N53" s="88"/>
      <c r="O53" s="120"/>
      <c r="P53" s="2" t="str">
        <f t="shared" si="1"/>
        <v/>
      </c>
      <c r="Q53" s="110"/>
      <c r="R53" s="110"/>
      <c r="S53" s="110"/>
      <c r="T53" s="110"/>
      <c r="U53" s="110"/>
      <c r="V53" s="110"/>
    </row>
    <row r="54" spans="1:22" hidden="1" x14ac:dyDescent="0.25">
      <c r="A54" s="42"/>
      <c r="B54" s="110"/>
      <c r="C54" s="110"/>
      <c r="D54" s="110"/>
      <c r="E54" s="110"/>
      <c r="F54" s="110"/>
      <c r="G54" s="88"/>
      <c r="H54" s="88"/>
      <c r="I54" s="88"/>
      <c r="J54" s="88"/>
      <c r="K54" s="111"/>
      <c r="L54" s="88"/>
      <c r="M54" s="88"/>
      <c r="N54" s="88"/>
      <c r="O54" s="120"/>
      <c r="P54" s="2" t="str">
        <f t="shared" si="1"/>
        <v/>
      </c>
      <c r="Q54" s="110"/>
      <c r="R54" s="110"/>
      <c r="S54" s="110"/>
      <c r="T54" s="110"/>
      <c r="U54" s="110"/>
      <c r="V54" s="110"/>
    </row>
    <row r="55" spans="1:22" hidden="1" x14ac:dyDescent="0.25">
      <c r="A55" s="42"/>
      <c r="B55" s="110"/>
      <c r="C55" s="110"/>
      <c r="D55" s="110"/>
      <c r="E55" s="110"/>
      <c r="F55" s="110"/>
      <c r="G55" s="88"/>
      <c r="H55" s="88"/>
      <c r="I55" s="88"/>
      <c r="J55" s="88"/>
      <c r="K55" s="111"/>
      <c r="L55" s="88"/>
      <c r="M55" s="88"/>
      <c r="N55" s="88"/>
      <c r="O55" s="120"/>
      <c r="P55" s="2" t="str">
        <f t="shared" si="1"/>
        <v/>
      </c>
      <c r="Q55" s="110"/>
      <c r="R55" s="110"/>
      <c r="S55" s="110"/>
      <c r="T55" s="110"/>
      <c r="U55" s="110"/>
      <c r="V55" s="110"/>
    </row>
    <row r="56" spans="1:22" hidden="1" x14ac:dyDescent="0.25">
      <c r="A56" s="42"/>
      <c r="B56" s="110"/>
      <c r="C56" s="110"/>
      <c r="D56" s="110"/>
      <c r="E56" s="110"/>
      <c r="F56" s="110"/>
      <c r="G56" s="88"/>
      <c r="H56" s="88"/>
      <c r="I56" s="88"/>
      <c r="J56" s="88"/>
      <c r="K56" s="111"/>
      <c r="L56" s="88"/>
      <c r="M56" s="88"/>
      <c r="N56" s="88"/>
      <c r="O56" s="120"/>
      <c r="P56" s="2" t="str">
        <f t="shared" si="1"/>
        <v/>
      </c>
      <c r="Q56" s="110"/>
      <c r="R56" s="110"/>
      <c r="S56" s="110"/>
      <c r="T56" s="110"/>
      <c r="U56" s="110"/>
      <c r="V56" s="110"/>
    </row>
    <row r="57" spans="1:22" hidden="1" x14ac:dyDescent="0.25">
      <c r="A57" s="42"/>
      <c r="B57" s="110"/>
      <c r="C57" s="110"/>
      <c r="D57" s="110"/>
      <c r="E57" s="110"/>
      <c r="F57" s="110"/>
      <c r="G57" s="88"/>
      <c r="H57" s="88"/>
      <c r="I57" s="88"/>
      <c r="J57" s="88"/>
      <c r="K57" s="111"/>
      <c r="L57" s="88"/>
      <c r="M57" s="88"/>
      <c r="N57" s="88"/>
      <c r="O57" s="120"/>
      <c r="P57" s="2" t="str">
        <f t="shared" si="1"/>
        <v/>
      </c>
      <c r="Q57" s="110"/>
      <c r="R57" s="110"/>
      <c r="S57" s="110"/>
      <c r="T57" s="110"/>
      <c r="U57" s="110"/>
      <c r="V57" s="110"/>
    </row>
    <row r="58" spans="1:22" hidden="1" x14ac:dyDescent="0.25">
      <c r="A58" s="42"/>
      <c r="B58" s="110"/>
      <c r="C58" s="110"/>
      <c r="D58" s="110"/>
      <c r="E58" s="110"/>
      <c r="F58" s="110"/>
      <c r="G58" s="88"/>
      <c r="H58" s="88"/>
      <c r="I58" s="88"/>
      <c r="J58" s="88"/>
      <c r="K58" s="111"/>
      <c r="L58" s="88"/>
      <c r="M58" s="88"/>
      <c r="N58" s="88"/>
      <c r="O58" s="120"/>
      <c r="P58" s="2" t="str">
        <f t="shared" si="1"/>
        <v/>
      </c>
      <c r="Q58" s="110"/>
      <c r="R58" s="110"/>
      <c r="S58" s="110"/>
      <c r="T58" s="110"/>
      <c r="U58" s="110"/>
      <c r="V58" s="110"/>
    </row>
    <row r="59" spans="1:22" hidden="1" x14ac:dyDescent="0.25">
      <c r="A59" s="42"/>
      <c r="B59" s="110"/>
      <c r="C59" s="110"/>
      <c r="D59" s="110"/>
      <c r="E59" s="110"/>
      <c r="F59" s="110"/>
      <c r="G59" s="88"/>
      <c r="H59" s="88"/>
      <c r="I59" s="88"/>
      <c r="J59" s="88"/>
      <c r="K59" s="111"/>
      <c r="L59" s="88"/>
      <c r="M59" s="88"/>
      <c r="N59" s="88"/>
      <c r="O59" s="120"/>
      <c r="P59" s="2" t="str">
        <f t="shared" si="1"/>
        <v/>
      </c>
      <c r="Q59" s="110"/>
      <c r="R59" s="110"/>
      <c r="S59" s="110"/>
      <c r="T59" s="110"/>
      <c r="U59" s="110"/>
      <c r="V59" s="110"/>
    </row>
    <row r="60" spans="1:22" hidden="1" x14ac:dyDescent="0.25">
      <c r="A60" s="42"/>
      <c r="B60" s="81"/>
      <c r="C60" s="81"/>
      <c r="D60" s="81"/>
      <c r="E60" s="81"/>
      <c r="F60" s="81"/>
      <c r="G60" s="88"/>
      <c r="H60" s="88"/>
      <c r="I60" s="88"/>
      <c r="J60" s="88"/>
      <c r="K60" s="88"/>
      <c r="L60" s="88"/>
      <c r="M60" s="88"/>
      <c r="N60" s="88"/>
      <c r="O60" s="120"/>
      <c r="P60" s="2" t="str">
        <f t="shared" si="1"/>
        <v/>
      </c>
      <c r="Q60" s="110"/>
      <c r="R60" s="110"/>
      <c r="S60" s="110"/>
      <c r="T60" s="110"/>
      <c r="U60" s="110"/>
      <c r="V60" s="110"/>
    </row>
    <row r="61" spans="1:22" hidden="1" x14ac:dyDescent="0.25">
      <c r="A61" s="42"/>
      <c r="B61" s="81"/>
      <c r="C61" s="81"/>
      <c r="D61" s="81"/>
      <c r="E61" s="81"/>
      <c r="F61" s="81"/>
      <c r="G61" s="88"/>
      <c r="H61" s="88"/>
      <c r="I61" s="88"/>
      <c r="J61" s="88"/>
      <c r="K61" s="88"/>
      <c r="L61" s="88"/>
      <c r="M61" s="88"/>
      <c r="N61" s="88"/>
      <c r="O61" s="120"/>
      <c r="P61" s="2" t="str">
        <f t="shared" si="1"/>
        <v/>
      </c>
      <c r="Q61" s="110"/>
      <c r="R61" s="110"/>
      <c r="S61" s="110"/>
      <c r="T61" s="110"/>
      <c r="U61" s="110"/>
      <c r="V61" s="110"/>
    </row>
    <row r="62" spans="1:22" hidden="1" x14ac:dyDescent="0.25">
      <c r="A62" s="42"/>
      <c r="B62" s="81"/>
      <c r="C62" s="81"/>
      <c r="D62" s="81"/>
      <c r="E62" s="81"/>
      <c r="F62" s="81"/>
      <c r="G62" s="88"/>
      <c r="H62" s="88"/>
      <c r="I62" s="88"/>
      <c r="J62" s="88"/>
      <c r="K62" s="88"/>
      <c r="L62" s="88"/>
      <c r="M62" s="88"/>
      <c r="N62" s="88"/>
      <c r="O62" s="120"/>
      <c r="P62" s="2" t="str">
        <f t="shared" si="1"/>
        <v/>
      </c>
      <c r="Q62" s="110"/>
      <c r="R62" s="110"/>
      <c r="S62" s="110"/>
      <c r="T62" s="110"/>
      <c r="U62" s="110"/>
      <c r="V62" s="110"/>
    </row>
    <row r="63" spans="1:22" hidden="1" x14ac:dyDescent="0.25">
      <c r="A63" s="42"/>
      <c r="B63" s="81"/>
      <c r="C63" s="81"/>
      <c r="D63" s="81"/>
      <c r="E63" s="81"/>
      <c r="F63" s="81"/>
      <c r="G63" s="88"/>
      <c r="H63" s="88"/>
      <c r="I63" s="88"/>
      <c r="J63" s="88"/>
      <c r="K63" s="88"/>
      <c r="L63" s="88"/>
      <c r="M63" s="88"/>
      <c r="N63" s="88"/>
      <c r="O63" s="120"/>
      <c r="P63" s="2" t="str">
        <f t="shared" si="1"/>
        <v/>
      </c>
    </row>
    <row r="64" spans="1:22" hidden="1" x14ac:dyDescent="0.25">
      <c r="A64" s="42"/>
      <c r="B64" s="81"/>
      <c r="C64" s="81"/>
      <c r="D64" s="81"/>
      <c r="E64" s="81"/>
      <c r="F64" s="81"/>
      <c r="G64" s="88"/>
      <c r="H64" s="88"/>
      <c r="I64" s="88"/>
      <c r="J64" s="88"/>
      <c r="K64" s="88"/>
      <c r="L64" s="88"/>
      <c r="M64" s="88"/>
      <c r="N64" s="88"/>
      <c r="O64" s="120"/>
      <c r="P64" s="2" t="str">
        <f t="shared" si="1"/>
        <v/>
      </c>
    </row>
    <row r="65" spans="1:16" hidden="1" x14ac:dyDescent="0.25">
      <c r="A65" s="42"/>
      <c r="B65" s="81"/>
      <c r="C65" s="81"/>
      <c r="D65" s="81"/>
      <c r="E65" s="81"/>
      <c r="F65" s="81"/>
      <c r="G65" s="88"/>
      <c r="H65" s="88"/>
      <c r="I65" s="88"/>
      <c r="J65" s="88"/>
      <c r="K65" s="88"/>
      <c r="L65" s="88"/>
      <c r="M65" s="88"/>
      <c r="N65" s="88"/>
      <c r="O65" s="120"/>
      <c r="P65" s="2" t="str">
        <f t="shared" si="1"/>
        <v/>
      </c>
    </row>
    <row r="66" spans="1:16" hidden="1" x14ac:dyDescent="0.25">
      <c r="A66" s="42"/>
      <c r="B66" s="81"/>
      <c r="C66" s="81"/>
      <c r="D66" s="81"/>
      <c r="E66" s="81"/>
      <c r="F66" s="81"/>
      <c r="G66" s="88"/>
      <c r="H66" s="88"/>
      <c r="I66" s="88"/>
      <c r="J66" s="88"/>
      <c r="K66" s="88"/>
      <c r="L66" s="88"/>
      <c r="M66" s="88"/>
      <c r="N66" s="88"/>
      <c r="O66" s="120"/>
      <c r="P66" s="2" t="str">
        <f t="shared" si="1"/>
        <v/>
      </c>
    </row>
    <row r="67" spans="1:16" hidden="1" x14ac:dyDescent="0.25">
      <c r="A67" s="42"/>
      <c r="B67" s="81"/>
      <c r="C67" s="81"/>
      <c r="D67" s="81"/>
      <c r="E67" s="81"/>
      <c r="F67" s="81"/>
      <c r="G67" s="88"/>
      <c r="H67" s="88"/>
      <c r="I67" s="88"/>
      <c r="J67" s="88"/>
      <c r="K67" s="88"/>
      <c r="L67" s="88"/>
      <c r="M67" s="88"/>
      <c r="N67" s="88"/>
      <c r="O67" s="120"/>
      <c r="P67" s="2" t="str">
        <f t="shared" si="1"/>
        <v/>
      </c>
    </row>
    <row r="68" spans="1:16" hidden="1" x14ac:dyDescent="0.25">
      <c r="A68" s="42"/>
      <c r="B68" s="81"/>
      <c r="C68" s="81"/>
      <c r="D68" s="81"/>
      <c r="E68" s="81"/>
      <c r="F68" s="84"/>
      <c r="G68" s="88"/>
      <c r="H68" s="88"/>
      <c r="I68" s="88"/>
      <c r="J68" s="88"/>
      <c r="K68" s="88"/>
      <c r="L68" s="88"/>
      <c r="M68" s="88"/>
      <c r="N68" s="88"/>
      <c r="O68" s="120"/>
      <c r="P68" s="2" t="str">
        <f t="shared" si="1"/>
        <v/>
      </c>
    </row>
    <row r="69" spans="1:16" hidden="1" x14ac:dyDescent="0.25">
      <c r="B69" s="81"/>
      <c r="C69" s="81"/>
      <c r="D69" s="81"/>
      <c r="E69" s="81"/>
      <c r="F69" s="84"/>
      <c r="G69" s="88"/>
      <c r="H69" s="88"/>
      <c r="I69" s="88"/>
      <c r="J69" s="88"/>
      <c r="K69" s="88"/>
      <c r="L69" s="88"/>
      <c r="M69" s="88"/>
      <c r="N69" s="88"/>
      <c r="O69" s="120"/>
      <c r="P69" s="2" t="str">
        <f t="shared" si="1"/>
        <v/>
      </c>
    </row>
    <row r="70" spans="1:16" hidden="1" x14ac:dyDescent="0.25">
      <c r="B70" s="81"/>
      <c r="C70" s="81"/>
      <c r="D70" s="81"/>
      <c r="E70" s="81"/>
      <c r="F70" s="84"/>
      <c r="G70" s="88"/>
      <c r="H70" s="88"/>
      <c r="I70" s="88"/>
      <c r="J70" s="88"/>
      <c r="K70" s="88"/>
      <c r="L70" s="88"/>
      <c r="M70" s="88"/>
      <c r="N70" s="88"/>
      <c r="O70" s="120"/>
      <c r="P70" s="2" t="str">
        <f t="shared" si="1"/>
        <v/>
      </c>
    </row>
    <row r="71" spans="1:16" ht="12" hidden="1" customHeight="1" x14ac:dyDescent="0.25">
      <c r="A71" s="42"/>
      <c r="B71" s="82"/>
      <c r="C71" s="82"/>
      <c r="D71" s="82"/>
      <c r="E71" s="82"/>
      <c r="F71" s="82"/>
      <c r="G71" s="88"/>
      <c r="H71" s="88"/>
      <c r="I71" s="88"/>
      <c r="J71" s="88"/>
      <c r="K71" s="88"/>
      <c r="L71" s="88"/>
      <c r="M71" s="88"/>
      <c r="N71" s="88"/>
      <c r="O71" s="120"/>
      <c r="P71" s="2" t="str">
        <f t="shared" si="1"/>
        <v/>
      </c>
    </row>
    <row r="72" spans="1:16" hidden="1" x14ac:dyDescent="0.25">
      <c r="A72" s="42"/>
      <c r="B72" s="82"/>
      <c r="C72" s="82"/>
      <c r="D72" s="82"/>
      <c r="E72" s="82"/>
      <c r="F72" s="82"/>
      <c r="G72" s="88"/>
      <c r="H72" s="88"/>
      <c r="I72" s="88"/>
      <c r="J72" s="88"/>
      <c r="K72" s="88"/>
      <c r="L72" s="88"/>
      <c r="M72" s="88"/>
      <c r="N72" s="88"/>
      <c r="O72" s="120"/>
      <c r="P72" s="2" t="str">
        <f t="shared" si="1"/>
        <v/>
      </c>
    </row>
    <row r="73" spans="1:16" hidden="1" x14ac:dyDescent="0.25">
      <c r="A73" s="42"/>
      <c r="B73" s="82"/>
      <c r="C73" s="82"/>
      <c r="D73" s="82"/>
      <c r="E73" s="82"/>
      <c r="F73" s="82"/>
      <c r="G73" s="88"/>
      <c r="H73" s="88"/>
      <c r="I73" s="88"/>
      <c r="J73" s="88"/>
      <c r="K73" s="88"/>
      <c r="L73" s="88"/>
      <c r="M73" s="88"/>
      <c r="N73" s="88"/>
      <c r="O73" s="120"/>
      <c r="P73" s="2" t="str">
        <f t="shared" si="1"/>
        <v/>
      </c>
    </row>
    <row r="74" spans="1:16" hidden="1" x14ac:dyDescent="0.25">
      <c r="A74" s="42"/>
      <c r="B74" s="82"/>
      <c r="C74" s="82"/>
      <c r="D74" s="82"/>
      <c r="E74" s="82"/>
      <c r="F74" s="82"/>
      <c r="G74" s="88"/>
      <c r="H74" s="88"/>
      <c r="I74" s="88"/>
      <c r="J74" s="88"/>
      <c r="K74" s="88"/>
      <c r="L74" s="88"/>
      <c r="M74" s="88"/>
      <c r="N74" s="88"/>
      <c r="O74" s="120"/>
      <c r="P74" s="2" t="str">
        <f t="shared" si="1"/>
        <v/>
      </c>
    </row>
    <row r="75" spans="1:16" hidden="1" x14ac:dyDescent="0.25">
      <c r="A75" s="42"/>
      <c r="B75" s="81"/>
      <c r="C75" s="81"/>
      <c r="D75" s="81"/>
      <c r="E75" s="81"/>
      <c r="F75" s="81"/>
      <c r="G75" s="88"/>
      <c r="H75" s="88"/>
      <c r="I75" s="88"/>
      <c r="J75" s="88"/>
      <c r="K75" s="88"/>
      <c r="L75" s="88"/>
      <c r="M75" s="88"/>
      <c r="N75" s="88"/>
      <c r="O75" s="120"/>
      <c r="P75" s="2" t="str">
        <f t="shared" si="1"/>
        <v/>
      </c>
    </row>
    <row r="76" spans="1:16" hidden="1" x14ac:dyDescent="0.25">
      <c r="A76" s="42"/>
      <c r="B76" s="81"/>
      <c r="C76" s="81"/>
      <c r="D76" s="81"/>
      <c r="E76" s="81"/>
      <c r="F76" s="81"/>
      <c r="G76" s="88"/>
      <c r="H76" s="88"/>
      <c r="I76" s="88"/>
      <c r="J76" s="88"/>
      <c r="K76" s="88"/>
      <c r="L76" s="88"/>
      <c r="M76" s="88"/>
      <c r="N76" s="88"/>
      <c r="O76" s="120"/>
      <c r="P76" s="2" t="str">
        <f t="shared" si="1"/>
        <v/>
      </c>
    </row>
    <row r="77" spans="1:16" hidden="1" x14ac:dyDescent="0.25">
      <c r="A77" s="42"/>
      <c r="B77" s="81"/>
      <c r="C77" s="81"/>
      <c r="D77" s="81"/>
      <c r="E77" s="81"/>
      <c r="F77" s="81"/>
      <c r="G77" s="88"/>
      <c r="H77" s="88"/>
      <c r="I77" s="88"/>
      <c r="J77" s="88"/>
      <c r="K77" s="88"/>
      <c r="L77" s="88"/>
      <c r="M77" s="88"/>
      <c r="N77" s="88"/>
      <c r="O77" s="120"/>
      <c r="P77" s="2" t="str">
        <f t="shared" si="1"/>
        <v/>
      </c>
    </row>
    <row r="78" spans="1:16" hidden="1" x14ac:dyDescent="0.25">
      <c r="A78" s="42"/>
      <c r="B78" s="81"/>
      <c r="C78" s="81"/>
      <c r="D78" s="81"/>
      <c r="E78" s="81"/>
      <c r="F78" s="81"/>
      <c r="G78" s="88"/>
      <c r="H78" s="88"/>
      <c r="I78" s="88"/>
      <c r="J78" s="88"/>
      <c r="K78" s="88"/>
      <c r="L78" s="88"/>
      <c r="M78" s="88"/>
      <c r="N78" s="88"/>
      <c r="O78" s="120"/>
      <c r="P78" s="2" t="str">
        <f t="shared" si="1"/>
        <v/>
      </c>
    </row>
    <row r="79" spans="1:16" hidden="1" x14ac:dyDescent="0.25">
      <c r="A79" s="42"/>
      <c r="B79" s="81"/>
      <c r="C79" s="81"/>
      <c r="D79" s="81"/>
      <c r="E79" s="81"/>
      <c r="F79" s="81"/>
      <c r="G79" s="88"/>
      <c r="H79" s="88"/>
      <c r="I79" s="88"/>
      <c r="J79" s="88"/>
      <c r="K79" s="88"/>
      <c r="L79" s="88"/>
      <c r="M79" s="88"/>
      <c r="N79" s="88"/>
      <c r="O79" s="120"/>
      <c r="P79" s="2" t="str">
        <f t="shared" si="1"/>
        <v/>
      </c>
    </row>
    <row r="80" spans="1:16" hidden="1" x14ac:dyDescent="0.25">
      <c r="A80" s="42"/>
      <c r="B80" s="81"/>
      <c r="C80" s="81"/>
      <c r="D80" s="81"/>
      <c r="E80" s="81"/>
      <c r="F80" s="81"/>
      <c r="G80" s="88"/>
      <c r="H80" s="88"/>
      <c r="I80" s="88"/>
      <c r="J80" s="88"/>
      <c r="K80" s="88"/>
      <c r="L80" s="88"/>
      <c r="M80" s="88"/>
      <c r="N80" s="88"/>
      <c r="O80" s="120"/>
      <c r="P80" s="2" t="str">
        <f t="shared" si="1"/>
        <v/>
      </c>
    </row>
    <row r="81" spans="1:16" hidden="1" x14ac:dyDescent="0.25">
      <c r="A81" s="42"/>
      <c r="B81" s="81"/>
      <c r="C81" s="81"/>
      <c r="D81" s="81"/>
      <c r="E81" s="81"/>
      <c r="F81" s="81"/>
      <c r="G81" s="88"/>
      <c r="H81" s="88"/>
      <c r="I81" s="88"/>
      <c r="J81" s="88"/>
      <c r="K81" s="88"/>
      <c r="L81" s="88"/>
      <c r="M81" s="88"/>
      <c r="N81" s="88"/>
      <c r="O81" s="120"/>
      <c r="P81" s="2" t="str">
        <f t="shared" si="1"/>
        <v/>
      </c>
    </row>
    <row r="82" spans="1:16" hidden="1" x14ac:dyDescent="0.25">
      <c r="A82" s="42"/>
      <c r="B82" s="81"/>
      <c r="C82" s="81"/>
      <c r="D82" s="81"/>
      <c r="E82" s="81"/>
      <c r="F82" s="81"/>
      <c r="G82" s="88"/>
      <c r="H82" s="88"/>
      <c r="I82" s="88"/>
      <c r="J82" s="88"/>
      <c r="K82" s="88"/>
      <c r="L82" s="88"/>
      <c r="M82" s="88"/>
      <c r="N82" s="88"/>
      <c r="O82" s="120"/>
      <c r="P82" s="2" t="str">
        <f>IF(M82&gt;0.49,"*","")</f>
        <v/>
      </c>
    </row>
    <row r="83" spans="1:16" hidden="1" x14ac:dyDescent="0.25">
      <c r="A83" s="42"/>
      <c r="B83" s="81"/>
      <c r="C83" s="81"/>
      <c r="D83" s="81"/>
      <c r="E83" s="81"/>
      <c r="F83" s="81"/>
      <c r="G83" s="88"/>
      <c r="H83" s="88"/>
      <c r="I83" s="88"/>
      <c r="J83" s="88"/>
      <c r="K83" s="88"/>
      <c r="L83" s="88"/>
      <c r="M83" s="88"/>
      <c r="N83" s="88"/>
      <c r="O83" s="120"/>
      <c r="P83" s="2" t="str">
        <f>IF(M83&gt;0.49,"*","")</f>
        <v/>
      </c>
    </row>
    <row r="84" spans="1:16" hidden="1" x14ac:dyDescent="0.25">
      <c r="A84" s="42"/>
      <c r="B84" s="81"/>
      <c r="C84" s="81"/>
      <c r="D84" s="81"/>
      <c r="E84" s="81"/>
      <c r="F84" s="81"/>
      <c r="G84" s="88"/>
      <c r="H84" s="88"/>
      <c r="I84" s="88"/>
      <c r="J84" s="88"/>
      <c r="K84" s="88"/>
      <c r="L84" s="88"/>
      <c r="M84" s="88"/>
      <c r="N84" s="88"/>
      <c r="O84" s="120"/>
      <c r="P84" s="2" t="str">
        <f>IF(M84&gt;0.49,"*","")</f>
        <v/>
      </c>
    </row>
    <row r="85" spans="1:16" x14ac:dyDescent="0.25">
      <c r="A85" s="42"/>
      <c r="B85" s="81"/>
      <c r="C85" s="81"/>
      <c r="D85" s="81"/>
      <c r="E85" s="81"/>
      <c r="F85" s="81"/>
      <c r="G85" s="88"/>
      <c r="H85" s="88"/>
      <c r="I85" s="88"/>
      <c r="J85" s="88"/>
      <c r="K85" s="88"/>
      <c r="L85" s="88"/>
      <c r="M85" s="88"/>
      <c r="N85" s="88"/>
      <c r="O85" s="88"/>
      <c r="P85" s="2" t="str">
        <f>IF(M86&gt;0.49,"*","")</f>
        <v>*</v>
      </c>
    </row>
    <row r="86" spans="1:16" x14ac:dyDescent="0.25">
      <c r="A86" s="42"/>
      <c r="B86" s="42"/>
      <c r="C86" s="42"/>
      <c r="D86" s="42"/>
      <c r="E86" s="42"/>
      <c r="F86" s="42"/>
      <c r="G86" s="88">
        <f>SUM(G8:G84)</f>
        <v>0</v>
      </c>
      <c r="H86" s="88"/>
      <c r="I86" s="88">
        <f>SUM(I8:I84)</f>
        <v>0</v>
      </c>
      <c r="J86" s="88"/>
      <c r="K86" s="88">
        <f>SUM(K8:K84)</f>
        <v>486501.34999999992</v>
      </c>
      <c r="L86" s="88"/>
      <c r="M86" s="88">
        <f>SUM(M8:M84)</f>
        <v>484791.09158870886</v>
      </c>
      <c r="N86" s="88"/>
      <c r="O86" s="88"/>
      <c r="P86" s="2" t="s">
        <v>189</v>
      </c>
    </row>
    <row r="87" spans="1:16" hidden="1" x14ac:dyDescent="0.25">
      <c r="A87" s="42"/>
      <c r="B87" s="42"/>
      <c r="C87" s="42"/>
      <c r="D87" s="42"/>
      <c r="E87" s="42"/>
      <c r="F87" s="42"/>
      <c r="G87" s="83"/>
      <c r="H87" s="83"/>
      <c r="I87" s="83"/>
      <c r="J87" s="83"/>
      <c r="K87" s="83"/>
      <c r="L87" s="83"/>
      <c r="M87" s="83"/>
      <c r="N87" s="83"/>
      <c r="O87" s="83"/>
    </row>
    <row r="88" spans="1:16" hidden="1" x14ac:dyDescent="0.25">
      <c r="A88" s="42"/>
      <c r="B88" s="42"/>
      <c r="C88" s="42"/>
      <c r="D88" s="42"/>
      <c r="E88" s="42"/>
      <c r="F88" s="42"/>
      <c r="G88" s="83"/>
      <c r="H88" s="83"/>
      <c r="I88" s="83"/>
      <c r="J88" s="83"/>
      <c r="K88" s="83"/>
      <c r="L88" s="83"/>
      <c r="M88" s="83"/>
      <c r="N88" s="83"/>
      <c r="O88" s="83"/>
    </row>
    <row r="89" spans="1:16" hidden="1" x14ac:dyDescent="0.25">
      <c r="A89" s="42"/>
      <c r="B89" s="42"/>
      <c r="C89" s="42"/>
      <c r="D89" s="42"/>
      <c r="E89" s="42"/>
      <c r="F89" s="42"/>
      <c r="G89" s="83"/>
      <c r="H89" s="83"/>
      <c r="I89" s="83"/>
      <c r="J89" s="83"/>
      <c r="K89" s="83"/>
      <c r="L89" s="83"/>
      <c r="M89" s="83"/>
      <c r="N89" s="83"/>
      <c r="O89" s="83"/>
    </row>
    <row r="90" spans="1:16" hidden="1" x14ac:dyDescent="0.25">
      <c r="A90" s="42"/>
      <c r="B90" s="42"/>
      <c r="C90" s="42"/>
      <c r="D90" s="42"/>
      <c r="E90" s="42"/>
      <c r="F90" s="42"/>
      <c r="G90" s="83"/>
      <c r="H90" s="83"/>
      <c r="I90" s="83"/>
      <c r="J90" s="83"/>
      <c r="K90" s="83"/>
      <c r="L90" s="83"/>
      <c r="M90" s="83"/>
      <c r="N90" s="83"/>
      <c r="O90" s="83"/>
    </row>
    <row r="91" spans="1:16" hidden="1" x14ac:dyDescent="0.25">
      <c r="A91" s="42"/>
      <c r="B91" s="42"/>
      <c r="C91" s="42"/>
      <c r="D91" s="42"/>
      <c r="E91" s="42"/>
      <c r="F91" s="42"/>
      <c r="G91" s="83"/>
      <c r="H91" s="83"/>
      <c r="I91" s="83"/>
      <c r="J91" s="83"/>
      <c r="K91" s="83"/>
      <c r="L91" s="83"/>
      <c r="M91" s="83"/>
      <c r="N91" s="83"/>
      <c r="O91" s="83"/>
    </row>
    <row r="92" spans="1:16" hidden="1" x14ac:dyDescent="0.25">
      <c r="A92" s="42"/>
      <c r="B92" s="42"/>
      <c r="C92" s="42"/>
      <c r="D92" s="42"/>
      <c r="E92" s="42"/>
      <c r="F92" s="42"/>
      <c r="G92" s="83"/>
      <c r="H92" s="83"/>
      <c r="I92" s="83"/>
      <c r="J92" s="83"/>
      <c r="K92" s="83"/>
      <c r="L92" s="83"/>
      <c r="M92" s="83"/>
      <c r="N92" s="83"/>
      <c r="O92" s="83"/>
    </row>
    <row r="93" spans="1:16" hidden="1" x14ac:dyDescent="0.25">
      <c r="A93" s="42"/>
      <c r="B93" s="42"/>
      <c r="C93" s="42"/>
      <c r="D93" s="42"/>
      <c r="E93" s="42"/>
      <c r="F93" s="42"/>
      <c r="G93" s="83"/>
      <c r="H93" s="83"/>
      <c r="I93" s="83"/>
      <c r="J93" s="83"/>
      <c r="K93" s="83"/>
      <c r="L93" s="83"/>
      <c r="M93" s="83"/>
      <c r="N93" s="83"/>
      <c r="O93" s="83"/>
    </row>
    <row r="94" spans="1:16" hidden="1" x14ac:dyDescent="0.25">
      <c r="A94" s="42"/>
      <c r="B94" s="42"/>
      <c r="C94" s="42"/>
      <c r="D94" s="42"/>
      <c r="E94" s="42"/>
      <c r="F94" s="42"/>
      <c r="G94" s="83"/>
      <c r="H94" s="83"/>
      <c r="I94" s="83"/>
      <c r="J94" s="83"/>
      <c r="K94" s="83"/>
      <c r="L94" s="83"/>
      <c r="M94" s="83"/>
      <c r="N94" s="83"/>
      <c r="O94" s="83"/>
    </row>
    <row r="95" spans="1:16" hidden="1" x14ac:dyDescent="0.25">
      <c r="A95" s="42"/>
      <c r="B95" s="42"/>
      <c r="C95" s="42"/>
      <c r="D95" s="42"/>
      <c r="E95" s="42"/>
      <c r="F95" s="42"/>
      <c r="G95" s="83"/>
      <c r="H95" s="83"/>
      <c r="I95" s="83"/>
      <c r="J95" s="83"/>
      <c r="K95" s="83"/>
      <c r="L95" s="83"/>
      <c r="M95" s="83"/>
      <c r="N95" s="83"/>
      <c r="O95" s="83"/>
    </row>
    <row r="96" spans="1:16" hidden="1" x14ac:dyDescent="0.25">
      <c r="A96" s="42"/>
      <c r="B96" s="42"/>
      <c r="C96" s="42"/>
      <c r="D96" s="42"/>
      <c r="E96" s="42"/>
      <c r="F96" s="42"/>
      <c r="G96" s="83"/>
      <c r="H96" s="83"/>
      <c r="I96" s="83"/>
      <c r="J96" s="83"/>
      <c r="K96" s="83"/>
      <c r="L96" s="83"/>
      <c r="M96" s="83"/>
      <c r="N96" s="83"/>
      <c r="O96" s="83"/>
    </row>
    <row r="97" spans="1:15" hidden="1" x14ac:dyDescent="0.25">
      <c r="A97" s="42"/>
      <c r="B97" s="42"/>
      <c r="C97" s="42"/>
      <c r="D97" s="42"/>
      <c r="E97" s="42"/>
      <c r="F97" s="42"/>
      <c r="G97" s="83"/>
      <c r="H97" s="83"/>
      <c r="I97" s="83"/>
      <c r="J97" s="83"/>
      <c r="K97" s="83"/>
      <c r="L97" s="83"/>
      <c r="M97" s="83"/>
      <c r="N97" s="83"/>
      <c r="O97" s="83"/>
    </row>
    <row r="98" spans="1:15" hidden="1" x14ac:dyDescent="0.25">
      <c r="A98" s="42"/>
      <c r="B98" s="42"/>
      <c r="C98" s="42"/>
      <c r="D98" s="42"/>
      <c r="E98" s="42"/>
      <c r="F98" s="42"/>
      <c r="G98" s="83"/>
      <c r="H98" s="83"/>
      <c r="I98" s="83"/>
      <c r="J98" s="83"/>
      <c r="K98" s="83"/>
      <c r="L98" s="83"/>
      <c r="M98" s="83"/>
      <c r="N98" s="83"/>
      <c r="O98" s="83"/>
    </row>
    <row r="99" spans="1:15" hidden="1" x14ac:dyDescent="0.25">
      <c r="A99" s="42"/>
      <c r="B99" s="42"/>
      <c r="C99" s="42"/>
      <c r="D99" s="42"/>
      <c r="E99" s="42"/>
      <c r="F99" s="42"/>
      <c r="G99" s="83"/>
      <c r="H99" s="83"/>
      <c r="I99" s="83"/>
      <c r="J99" s="83"/>
      <c r="K99" s="83"/>
      <c r="L99" s="83"/>
      <c r="M99" s="83"/>
      <c r="N99" s="83"/>
      <c r="O99" s="83"/>
    </row>
    <row r="100" spans="1:15" hidden="1" x14ac:dyDescent="0.25">
      <c r="A100" s="42"/>
      <c r="B100" s="42"/>
      <c r="C100" s="42"/>
      <c r="D100" s="42"/>
      <c r="E100" s="42"/>
      <c r="F100" s="42"/>
      <c r="G100" s="83"/>
      <c r="H100" s="83"/>
      <c r="I100" s="83"/>
      <c r="J100" s="83"/>
      <c r="K100" s="83"/>
      <c r="L100" s="83"/>
      <c r="M100" s="83"/>
      <c r="N100" s="83"/>
      <c r="O100" s="83"/>
    </row>
    <row r="101" spans="1:15" hidden="1" x14ac:dyDescent="0.25">
      <c r="A101" s="42"/>
      <c r="B101" s="42"/>
      <c r="C101" s="42"/>
      <c r="D101" s="42"/>
      <c r="E101" s="42"/>
      <c r="F101" s="42"/>
      <c r="G101" s="83"/>
      <c r="H101" s="83"/>
      <c r="I101" s="83"/>
      <c r="J101" s="83"/>
      <c r="K101" s="83"/>
      <c r="L101" s="83"/>
      <c r="M101" s="83"/>
      <c r="N101" s="83"/>
      <c r="O101" s="83"/>
    </row>
    <row r="102" spans="1:15" hidden="1" x14ac:dyDescent="0.25">
      <c r="A102" s="42"/>
      <c r="B102" s="42"/>
      <c r="C102" s="42"/>
      <c r="D102" s="42"/>
      <c r="E102" s="42"/>
      <c r="F102" s="42"/>
      <c r="G102" s="83"/>
      <c r="H102" s="83"/>
      <c r="I102" s="83"/>
      <c r="J102" s="83"/>
      <c r="K102" s="83"/>
      <c r="L102" s="83"/>
      <c r="M102" s="83"/>
      <c r="N102" s="83"/>
      <c r="O102" s="83"/>
    </row>
    <row r="103" spans="1:15" hidden="1" x14ac:dyDescent="0.25">
      <c r="A103" s="42"/>
      <c r="B103" s="42"/>
      <c r="C103" s="42"/>
      <c r="D103" s="42"/>
      <c r="E103" s="42"/>
      <c r="F103" s="42"/>
      <c r="G103" s="83"/>
      <c r="H103" s="83"/>
      <c r="I103" s="83"/>
      <c r="J103" s="83"/>
      <c r="K103" s="83"/>
      <c r="L103" s="83"/>
      <c r="M103" s="83"/>
      <c r="N103" s="83"/>
      <c r="O103" s="83"/>
    </row>
    <row r="104" spans="1:15" hidden="1" x14ac:dyDescent="0.25">
      <c r="A104" s="42"/>
      <c r="B104" s="42"/>
      <c r="C104" s="42"/>
      <c r="D104" s="42"/>
      <c r="E104" s="42"/>
      <c r="F104" s="42"/>
      <c r="G104" s="83"/>
      <c r="H104" s="83"/>
      <c r="I104" s="83"/>
      <c r="J104" s="83"/>
      <c r="K104" s="83"/>
      <c r="L104" s="83"/>
      <c r="M104" s="83"/>
      <c r="N104" s="83"/>
      <c r="O104" s="83"/>
    </row>
    <row r="105" spans="1:15" hidden="1" x14ac:dyDescent="0.25">
      <c r="A105" s="42"/>
      <c r="B105" s="42"/>
      <c r="C105" s="42"/>
      <c r="D105" s="42"/>
      <c r="E105" s="42"/>
      <c r="F105" s="42"/>
      <c r="G105" s="83"/>
      <c r="H105" s="83"/>
      <c r="I105" s="83"/>
      <c r="J105" s="83"/>
      <c r="K105" s="83"/>
      <c r="L105" s="83"/>
      <c r="M105" s="83"/>
      <c r="N105" s="83"/>
      <c r="O105" s="83"/>
    </row>
    <row r="106" spans="1:15" hidden="1" x14ac:dyDescent="0.25">
      <c r="A106" s="42"/>
      <c r="B106" s="42"/>
      <c r="C106" s="42"/>
      <c r="D106" s="42"/>
      <c r="E106" s="42"/>
      <c r="F106" s="42"/>
      <c r="G106" s="83"/>
      <c r="H106" s="83"/>
      <c r="I106" s="83"/>
      <c r="J106" s="83"/>
      <c r="K106" s="83"/>
      <c r="L106" s="83"/>
      <c r="M106" s="83"/>
      <c r="N106" s="83"/>
      <c r="O106" s="83"/>
    </row>
    <row r="107" spans="1:15" hidden="1" x14ac:dyDescent="0.25">
      <c r="A107" s="42"/>
      <c r="B107" s="42"/>
      <c r="C107" s="42"/>
      <c r="D107" s="42"/>
      <c r="E107" s="42"/>
      <c r="F107" s="42"/>
      <c r="G107" s="83"/>
      <c r="H107" s="83"/>
      <c r="I107" s="83"/>
      <c r="J107" s="83"/>
      <c r="K107" s="83"/>
      <c r="L107" s="83"/>
      <c r="M107" s="83"/>
      <c r="N107" s="83"/>
      <c r="O107" s="83"/>
    </row>
    <row r="108" spans="1:15" hidden="1" x14ac:dyDescent="0.25">
      <c r="A108" s="42"/>
      <c r="B108" s="42"/>
      <c r="C108" s="42"/>
      <c r="D108" s="42"/>
      <c r="E108" s="42"/>
      <c r="F108" s="42"/>
      <c r="G108" s="83"/>
      <c r="H108" s="83"/>
      <c r="I108" s="83"/>
      <c r="J108" s="83"/>
      <c r="K108" s="83"/>
      <c r="L108" s="83"/>
      <c r="M108" s="83"/>
      <c r="N108" s="83"/>
      <c r="O108" s="83"/>
    </row>
    <row r="109" spans="1:15" hidden="1" x14ac:dyDescent="0.25">
      <c r="A109" s="42"/>
      <c r="B109" s="42"/>
      <c r="C109" s="42"/>
      <c r="D109" s="42"/>
      <c r="E109" s="42"/>
      <c r="F109" s="42"/>
      <c r="G109" s="83"/>
      <c r="H109" s="83"/>
      <c r="I109" s="83"/>
      <c r="J109" s="83"/>
      <c r="K109" s="83"/>
      <c r="L109" s="83"/>
      <c r="M109" s="83"/>
      <c r="N109" s="83"/>
      <c r="O109" s="83"/>
    </row>
    <row r="110" spans="1:15" hidden="1" x14ac:dyDescent="0.25">
      <c r="A110" s="42"/>
      <c r="B110" s="42"/>
      <c r="C110" s="42"/>
      <c r="D110" s="42"/>
      <c r="E110" s="42"/>
      <c r="F110" s="42"/>
      <c r="G110" s="83"/>
      <c r="H110" s="83"/>
      <c r="I110" s="83"/>
      <c r="J110" s="83"/>
      <c r="K110" s="83"/>
      <c r="L110" s="83"/>
      <c r="M110" s="83"/>
      <c r="N110" s="83"/>
      <c r="O110" s="83"/>
    </row>
    <row r="111" spans="1:15" hidden="1" x14ac:dyDescent="0.25">
      <c r="A111" s="42"/>
      <c r="B111" s="42"/>
      <c r="C111" s="42"/>
      <c r="D111" s="42"/>
      <c r="E111" s="42"/>
      <c r="F111" s="42"/>
      <c r="G111" s="83"/>
      <c r="H111" s="83"/>
      <c r="I111" s="83"/>
      <c r="J111" s="83"/>
      <c r="K111" s="83"/>
      <c r="L111" s="83"/>
      <c r="M111" s="83"/>
      <c r="N111" s="83"/>
      <c r="O111" s="83"/>
    </row>
    <row r="112" spans="1:15" hidden="1" x14ac:dyDescent="0.25">
      <c r="A112" s="42"/>
      <c r="B112" s="42"/>
      <c r="C112" s="42"/>
      <c r="D112" s="42"/>
      <c r="E112" s="42"/>
      <c r="F112" s="42"/>
      <c r="G112" s="83"/>
      <c r="H112" s="83"/>
      <c r="I112" s="83"/>
      <c r="J112" s="83"/>
      <c r="K112" s="83"/>
      <c r="L112" s="83"/>
      <c r="M112" s="83"/>
      <c r="N112" s="83"/>
      <c r="O112" s="83"/>
    </row>
    <row r="113" spans="1:15" hidden="1" x14ac:dyDescent="0.25">
      <c r="A113" s="42"/>
      <c r="B113" s="42"/>
      <c r="C113" s="42"/>
      <c r="D113" s="42"/>
      <c r="E113" s="42"/>
      <c r="F113" s="42"/>
      <c r="G113" s="83"/>
      <c r="H113" s="83"/>
      <c r="I113" s="83"/>
      <c r="J113" s="83"/>
      <c r="K113" s="83"/>
      <c r="L113" s="83"/>
      <c r="M113" s="83"/>
      <c r="N113" s="83"/>
      <c r="O113" s="83"/>
    </row>
    <row r="114" spans="1:15" hidden="1" x14ac:dyDescent="0.25">
      <c r="A114" s="42"/>
      <c r="B114" s="42"/>
      <c r="C114" s="42"/>
      <c r="D114" s="42"/>
      <c r="E114" s="42"/>
      <c r="F114" s="42"/>
      <c r="G114" s="83"/>
      <c r="H114" s="83"/>
      <c r="I114" s="83"/>
      <c r="J114" s="83"/>
      <c r="K114" s="83"/>
      <c r="L114" s="83"/>
      <c r="M114" s="83"/>
      <c r="N114" s="83"/>
      <c r="O114" s="83"/>
    </row>
    <row r="115" spans="1:15" hidden="1" x14ac:dyDescent="0.25">
      <c r="A115" s="42"/>
      <c r="B115" s="42"/>
      <c r="C115" s="42"/>
      <c r="D115" s="42"/>
      <c r="E115" s="42"/>
      <c r="F115" s="42"/>
      <c r="G115" s="83"/>
      <c r="H115" s="83"/>
      <c r="I115" s="83"/>
      <c r="J115" s="83"/>
      <c r="K115" s="83"/>
      <c r="L115" s="83"/>
      <c r="M115" s="83"/>
      <c r="N115" s="83"/>
      <c r="O115" s="83"/>
    </row>
    <row r="116" spans="1:15" hidden="1" x14ac:dyDescent="0.25">
      <c r="A116" s="42"/>
      <c r="B116" s="42"/>
      <c r="C116" s="42"/>
      <c r="D116" s="42"/>
      <c r="E116" s="42"/>
      <c r="F116" s="42"/>
      <c r="G116" s="83"/>
      <c r="H116" s="83"/>
      <c r="I116" s="83"/>
      <c r="J116" s="83"/>
      <c r="K116" s="83"/>
      <c r="L116" s="83"/>
      <c r="M116" s="83"/>
      <c r="N116" s="83"/>
      <c r="O116" s="83"/>
    </row>
    <row r="117" spans="1:15" hidden="1" x14ac:dyDescent="0.25">
      <c r="A117" s="42"/>
      <c r="B117" s="42"/>
      <c r="C117" s="42"/>
      <c r="D117" s="42"/>
      <c r="E117" s="42"/>
      <c r="F117" s="42"/>
      <c r="G117" s="83"/>
      <c r="H117" s="83"/>
      <c r="I117" s="83"/>
      <c r="J117" s="83"/>
      <c r="K117" s="83"/>
      <c r="L117" s="83"/>
      <c r="M117" s="83"/>
      <c r="N117" s="83"/>
      <c r="O117" s="83"/>
    </row>
    <row r="118" spans="1:15" hidden="1" x14ac:dyDescent="0.25">
      <c r="A118" s="42"/>
      <c r="B118" s="42"/>
      <c r="C118" s="42"/>
      <c r="D118" s="42"/>
      <c r="E118" s="42"/>
      <c r="F118" s="42"/>
      <c r="G118" s="83"/>
      <c r="H118" s="83"/>
      <c r="I118" s="83"/>
      <c r="J118" s="83"/>
      <c r="K118" s="83"/>
      <c r="L118" s="83"/>
      <c r="M118" s="83"/>
      <c r="N118" s="83"/>
      <c r="O118" s="83"/>
    </row>
    <row r="119" spans="1:15" hidden="1" x14ac:dyDescent="0.25">
      <c r="A119" s="42"/>
      <c r="B119" s="42"/>
      <c r="C119" s="42"/>
      <c r="D119" s="42"/>
      <c r="E119" s="42"/>
      <c r="F119" s="42"/>
      <c r="G119" s="83"/>
      <c r="H119" s="83"/>
      <c r="I119" s="83"/>
      <c r="J119" s="83"/>
      <c r="K119" s="83"/>
      <c r="L119" s="83"/>
      <c r="M119" s="83"/>
      <c r="N119" s="83"/>
      <c r="O119" s="83"/>
    </row>
    <row r="120" spans="1:15" hidden="1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</row>
    <row r="121" spans="1:15" hidden="1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</row>
    <row r="122" spans="1:15" hidden="1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</row>
    <row r="123" spans="1:15" hidden="1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</row>
    <row r="124" spans="1:15" hidden="1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</row>
    <row r="125" spans="1:15" hidden="1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</row>
    <row r="126" spans="1:15" hidden="1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</row>
    <row r="127" spans="1:15" hidden="1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</row>
    <row r="128" spans="1:15" hidden="1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</row>
    <row r="129" spans="1:13" hidden="1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</row>
    <row r="130" spans="1:13" hidden="1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</row>
    <row r="131" spans="1:13" hidden="1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</row>
    <row r="132" spans="1:13" hidden="1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</row>
    <row r="133" spans="1:13" hidden="1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</row>
    <row r="134" spans="1:13" hidden="1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</row>
    <row r="135" spans="1:13" hidden="1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</row>
    <row r="136" spans="1:13" hidden="1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</row>
    <row r="137" spans="1:13" hidden="1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</row>
    <row r="138" spans="1:13" hidden="1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</row>
    <row r="139" spans="1:13" hidden="1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</row>
    <row r="140" spans="1:13" hidden="1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</row>
    <row r="141" spans="1:13" hidden="1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</row>
    <row r="142" spans="1:13" hidden="1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</row>
    <row r="143" spans="1:13" hidden="1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</row>
    <row r="144" spans="1:13" hidden="1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</row>
    <row r="145" spans="1:13" hidden="1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</row>
    <row r="146" spans="1:13" hidden="1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</row>
    <row r="147" spans="1:13" hidden="1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</row>
    <row r="148" spans="1:13" hidden="1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</row>
    <row r="149" spans="1:13" x14ac:dyDescent="0.25">
      <c r="A149" s="42"/>
    </row>
  </sheetData>
  <autoFilter ref="P1:P148">
    <filterColumn colId="0">
      <customFilters>
        <customFilter operator="notEqual" val=" "/>
      </customFilters>
    </filterColumn>
  </autoFilter>
  <mergeCells count="1">
    <mergeCell ref="B2:G2"/>
  </mergeCells>
  <phoneticPr fontId="9" type="noConversion"/>
  <printOptions horizontalCentered="1"/>
  <pageMargins left="0" right="0" top="0.5" bottom="0.5" header="0" footer="0"/>
  <pageSetup fitToHeight="5" orientation="portrait" horizontalDpi="300" verticalDpi="300" r:id="rId1"/>
  <headerFooter alignWithMargins="0"/>
  <rowBreaks count="1" manualBreakCount="1">
    <brk id="8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0"/>
  <sheetViews>
    <sheetView topLeftCell="A7" workbookViewId="0">
      <selection activeCell="E17" sqref="E17"/>
    </sheetView>
  </sheetViews>
  <sheetFormatPr defaultRowHeight="10.199999999999999" x14ac:dyDescent="0.2"/>
  <cols>
    <col min="1" max="1" width="3.109375" style="166" bestFit="1" customWidth="1"/>
    <col min="2" max="3" width="3.88671875" style="166" bestFit="1" customWidth="1"/>
    <col min="4" max="4" width="3.109375" style="166" bestFit="1" customWidth="1"/>
    <col min="5" max="5" width="27.5546875" style="166" bestFit="1" customWidth="1"/>
    <col min="6" max="14" width="6" style="167" hidden="1" customWidth="1"/>
    <col min="15" max="16" width="6.44140625" style="167" hidden="1" customWidth="1"/>
    <col min="17" max="17" width="6" style="167" hidden="1" customWidth="1"/>
    <col min="18" max="18" width="6.77734375" style="167" bestFit="1" customWidth="1"/>
    <col min="19" max="16384" width="8.88671875" style="166"/>
  </cols>
  <sheetData>
    <row r="1" spans="1:21" x14ac:dyDescent="0.2">
      <c r="A1" s="165"/>
      <c r="B1" s="165"/>
      <c r="C1" s="165"/>
      <c r="D1" s="165"/>
    </row>
    <row r="2" spans="1:21" x14ac:dyDescent="0.2">
      <c r="A2" s="165"/>
      <c r="B2" s="165"/>
      <c r="C2" s="165"/>
      <c r="D2" s="165"/>
    </row>
    <row r="3" spans="1:21" x14ac:dyDescent="0.2">
      <c r="A3" s="165">
        <v>100</v>
      </c>
      <c r="B3" s="165">
        <v>3230</v>
      </c>
      <c r="C3" s="165">
        <v>0</v>
      </c>
      <c r="D3" s="165">
        <v>0</v>
      </c>
      <c r="E3" s="166" t="s">
        <v>288</v>
      </c>
      <c r="F3" s="167">
        <v>0</v>
      </c>
      <c r="G3" s="167">
        <v>0</v>
      </c>
      <c r="H3" s="167">
        <v>8796.48</v>
      </c>
      <c r="I3" s="167">
        <v>0</v>
      </c>
      <c r="J3" s="167">
        <v>0</v>
      </c>
      <c r="K3" s="167">
        <v>8796.48</v>
      </c>
      <c r="L3" s="167">
        <v>3347.18</v>
      </c>
      <c r="M3" s="167">
        <v>0</v>
      </c>
      <c r="N3" s="167">
        <v>12309.15</v>
      </c>
      <c r="O3" s="167">
        <v>0</v>
      </c>
      <c r="P3" s="167">
        <v>22.71</v>
      </c>
      <c r="Q3" s="167">
        <v>12806.3</v>
      </c>
      <c r="R3" s="167">
        <f t="shared" ref="R3:R11" si="0">+SUM(F3:Q3)</f>
        <v>46078.3</v>
      </c>
    </row>
    <row r="4" spans="1:21" x14ac:dyDescent="0.2">
      <c r="A4" s="165">
        <v>100</v>
      </c>
      <c r="B4" s="165">
        <v>3290</v>
      </c>
      <c r="C4" s="165">
        <v>0</v>
      </c>
      <c r="D4" s="165">
        <v>0</v>
      </c>
      <c r="E4" s="166" t="s">
        <v>289</v>
      </c>
      <c r="F4" s="167">
        <v>0</v>
      </c>
      <c r="G4" s="167">
        <v>0</v>
      </c>
      <c r="H4" s="167">
        <v>31468.58</v>
      </c>
      <c r="I4" s="167">
        <v>-2.89</v>
      </c>
      <c r="J4" s="167">
        <v>0</v>
      </c>
      <c r="K4" s="167">
        <v>39283.589999999997</v>
      </c>
      <c r="L4" s="167">
        <v>0</v>
      </c>
      <c r="M4" s="167">
        <v>0</v>
      </c>
      <c r="N4" s="167">
        <v>5364.96</v>
      </c>
      <c r="O4" s="167">
        <v>0</v>
      </c>
      <c r="P4" s="167">
        <v>0</v>
      </c>
      <c r="Q4" s="167">
        <v>9175.7999999999993</v>
      </c>
      <c r="R4" s="167">
        <f t="shared" si="0"/>
        <v>85290.040000000008</v>
      </c>
    </row>
    <row r="5" spans="1:21" x14ac:dyDescent="0.2">
      <c r="A5" s="165">
        <v>100</v>
      </c>
      <c r="B5" s="165">
        <v>3300</v>
      </c>
      <c r="C5" s="165">
        <v>0</v>
      </c>
      <c r="D5" s="165">
        <v>0</v>
      </c>
      <c r="E5" s="166" t="s">
        <v>290</v>
      </c>
      <c r="F5" s="167">
        <v>51869.08</v>
      </c>
      <c r="G5" s="167">
        <v>51869.09</v>
      </c>
      <c r="H5" s="167">
        <v>51869.08</v>
      </c>
      <c r="I5" s="167">
        <v>51869.08</v>
      </c>
      <c r="J5" s="167">
        <v>51869.09</v>
      </c>
      <c r="K5" s="167">
        <v>51869.08</v>
      </c>
      <c r="L5" s="167">
        <v>27948.33</v>
      </c>
      <c r="M5" s="167">
        <v>48451.839999999997</v>
      </c>
      <c r="N5" s="167">
        <v>48451.83</v>
      </c>
      <c r="O5" s="167">
        <v>48451.839999999997</v>
      </c>
      <c r="P5" s="167">
        <v>71341.91</v>
      </c>
      <c r="Q5" s="167">
        <v>50557.75</v>
      </c>
      <c r="R5" s="167">
        <f t="shared" si="0"/>
        <v>606418.00000000012</v>
      </c>
    </row>
    <row r="6" spans="1:21" x14ac:dyDescent="0.2">
      <c r="A6" s="165">
        <v>100</v>
      </c>
      <c r="B6" s="165">
        <v>3334</v>
      </c>
      <c r="C6" s="165">
        <v>0</v>
      </c>
      <c r="D6" s="165">
        <v>0</v>
      </c>
      <c r="E6" s="166" t="s">
        <v>291</v>
      </c>
      <c r="F6" s="167">
        <v>0</v>
      </c>
      <c r="G6" s="167">
        <v>0</v>
      </c>
      <c r="H6" s="167">
        <v>253</v>
      </c>
      <c r="I6" s="167">
        <v>0</v>
      </c>
      <c r="J6" s="167">
        <v>0</v>
      </c>
      <c r="K6" s="167">
        <v>0</v>
      </c>
      <c r="L6" s="167">
        <v>0</v>
      </c>
      <c r="M6" s="167">
        <v>0</v>
      </c>
      <c r="N6" s="167">
        <v>0</v>
      </c>
      <c r="O6" s="167">
        <v>0</v>
      </c>
      <c r="P6" s="167">
        <v>0</v>
      </c>
      <c r="Q6" s="167">
        <v>0</v>
      </c>
      <c r="R6" s="167">
        <f t="shared" si="0"/>
        <v>253</v>
      </c>
    </row>
    <row r="7" spans="1:21" x14ac:dyDescent="0.2">
      <c r="A7" s="165">
        <v>100</v>
      </c>
      <c r="B7" s="165">
        <v>3397</v>
      </c>
      <c r="C7" s="165">
        <v>0</v>
      </c>
      <c r="D7" s="165">
        <v>0</v>
      </c>
      <c r="E7" s="166" t="s">
        <v>151</v>
      </c>
      <c r="F7" s="167">
        <v>0</v>
      </c>
      <c r="G7" s="167">
        <v>3618</v>
      </c>
      <c r="H7" s="167">
        <v>1806</v>
      </c>
      <c r="I7" s="167">
        <v>1700</v>
      </c>
      <c r="J7" s="167">
        <v>1700</v>
      </c>
      <c r="K7" s="167">
        <v>1700</v>
      </c>
      <c r="L7" s="167">
        <v>1391</v>
      </c>
      <c r="M7" s="167">
        <v>1391</v>
      </c>
      <c r="N7" s="167">
        <v>1391</v>
      </c>
      <c r="O7" s="167">
        <v>1626</v>
      </c>
      <c r="P7" s="167">
        <v>1664</v>
      </c>
      <c r="Q7" s="167">
        <v>1679</v>
      </c>
      <c r="R7" s="167">
        <f t="shared" si="0"/>
        <v>19666</v>
      </c>
    </row>
    <row r="8" spans="1:21" x14ac:dyDescent="0.2">
      <c r="A8" s="165">
        <v>100</v>
      </c>
      <c r="B8" s="165">
        <v>3400</v>
      </c>
      <c r="C8" s="165">
        <v>0</v>
      </c>
      <c r="D8" s="165">
        <v>0</v>
      </c>
      <c r="E8" s="166" t="s">
        <v>292</v>
      </c>
      <c r="F8" s="167">
        <v>2.11</v>
      </c>
      <c r="G8" s="167">
        <v>2.21</v>
      </c>
      <c r="H8" s="167">
        <v>2.27</v>
      </c>
      <c r="I8" s="167">
        <v>2.2000000000000002</v>
      </c>
      <c r="J8" s="167">
        <v>2.17</v>
      </c>
      <c r="K8" s="167">
        <v>2.58</v>
      </c>
      <c r="L8" s="167">
        <v>2.7</v>
      </c>
      <c r="M8" s="167">
        <v>2.34</v>
      </c>
      <c r="N8" s="167">
        <v>2.66</v>
      </c>
      <c r="O8" s="167">
        <v>2.4300000000000002</v>
      </c>
      <c r="P8" s="167">
        <v>2.46</v>
      </c>
      <c r="Q8" s="167">
        <v>2.74</v>
      </c>
      <c r="R8" s="167">
        <f t="shared" si="0"/>
        <v>28.869999999999997</v>
      </c>
    </row>
    <row r="9" spans="1:21" x14ac:dyDescent="0.2">
      <c r="A9" s="165">
        <v>100</v>
      </c>
      <c r="B9" s="165">
        <v>3473</v>
      </c>
      <c r="C9" s="165">
        <v>0</v>
      </c>
      <c r="D9" s="165">
        <v>0</v>
      </c>
      <c r="E9" s="166" t="s">
        <v>294</v>
      </c>
      <c r="F9" s="167">
        <v>0</v>
      </c>
      <c r="G9" s="167">
        <v>209.25</v>
      </c>
      <c r="H9" s="167">
        <v>128.5</v>
      </c>
      <c r="I9" s="167">
        <v>0</v>
      </c>
      <c r="J9" s="167">
        <v>0</v>
      </c>
      <c r="K9" s="167">
        <v>244.85</v>
      </c>
      <c r="L9" s="167">
        <v>150</v>
      </c>
      <c r="M9" s="167">
        <v>30</v>
      </c>
      <c r="N9" s="167">
        <v>0</v>
      </c>
      <c r="O9" s="167">
        <v>35</v>
      </c>
      <c r="P9" s="167">
        <v>0</v>
      </c>
      <c r="Q9" s="167">
        <v>0</v>
      </c>
      <c r="R9" s="167">
        <f t="shared" si="0"/>
        <v>797.6</v>
      </c>
    </row>
    <row r="10" spans="1:21" x14ac:dyDescent="0.2">
      <c r="A10" s="165">
        <v>100</v>
      </c>
      <c r="B10" s="165">
        <v>3600</v>
      </c>
      <c r="C10" s="165">
        <v>0</v>
      </c>
      <c r="D10" s="165">
        <v>0</v>
      </c>
      <c r="E10" s="166" t="s">
        <v>297</v>
      </c>
      <c r="F10" s="167">
        <v>0</v>
      </c>
      <c r="G10" s="167">
        <v>60</v>
      </c>
      <c r="H10" s="167">
        <v>10830</v>
      </c>
      <c r="I10" s="167">
        <v>430</v>
      </c>
      <c r="J10" s="167">
        <v>1005</v>
      </c>
      <c r="K10" s="167">
        <v>255</v>
      </c>
      <c r="L10" s="167">
        <v>525</v>
      </c>
      <c r="M10" s="167">
        <v>3500</v>
      </c>
      <c r="N10" s="167">
        <v>10000</v>
      </c>
      <c r="O10" s="167">
        <v>1200</v>
      </c>
      <c r="P10" s="167">
        <v>64532.47</v>
      </c>
      <c r="Q10" s="167">
        <v>1136.79</v>
      </c>
      <c r="R10" s="167">
        <f t="shared" si="0"/>
        <v>93474.26</v>
      </c>
    </row>
    <row r="11" spans="1:21" x14ac:dyDescent="0.2">
      <c r="A11" s="165">
        <v>495</v>
      </c>
      <c r="B11" s="165">
        <v>3318</v>
      </c>
      <c r="C11" s="165">
        <v>0</v>
      </c>
      <c r="D11" s="165">
        <v>0</v>
      </c>
      <c r="E11" s="166" t="s">
        <v>417</v>
      </c>
      <c r="F11" s="167">
        <v>0</v>
      </c>
      <c r="G11" s="167">
        <v>0</v>
      </c>
      <c r="H11" s="167">
        <v>0</v>
      </c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167">
        <v>12845.99</v>
      </c>
      <c r="O11" s="167">
        <v>39854.129999999997</v>
      </c>
      <c r="P11" s="167">
        <v>38942.769999999997</v>
      </c>
      <c r="Q11" s="167">
        <v>30889.11</v>
      </c>
      <c r="R11" s="167">
        <f t="shared" si="0"/>
        <v>122531.99999999999</v>
      </c>
    </row>
    <row r="12" spans="1:21" x14ac:dyDescent="0.2">
      <c r="A12" s="165"/>
      <c r="B12" s="165"/>
      <c r="C12" s="165"/>
      <c r="D12" s="165"/>
    </row>
    <row r="13" spans="1:21" x14ac:dyDescent="0.2">
      <c r="A13" s="165"/>
      <c r="B13" s="165"/>
      <c r="C13" s="165"/>
      <c r="D13" s="165"/>
    </row>
    <row r="14" spans="1:21" x14ac:dyDescent="0.2">
      <c r="A14" s="165"/>
      <c r="B14" s="165"/>
      <c r="C14" s="165"/>
      <c r="D14" s="165"/>
    </row>
    <row r="15" spans="1:21" x14ac:dyDescent="0.2">
      <c r="A15" s="165">
        <v>100</v>
      </c>
      <c r="B15" s="165">
        <v>4000</v>
      </c>
      <c r="C15" s="165">
        <v>5200</v>
      </c>
      <c r="D15" s="165">
        <v>120</v>
      </c>
      <c r="E15" s="166" t="s">
        <v>358</v>
      </c>
      <c r="F15" s="167">
        <v>10662.5</v>
      </c>
      <c r="G15" s="167">
        <v>7556.55</v>
      </c>
      <c r="H15" s="167">
        <v>10990.55</v>
      </c>
      <c r="I15" s="167">
        <v>9988.39</v>
      </c>
      <c r="J15" s="167">
        <v>9735.9</v>
      </c>
      <c r="K15" s="167">
        <v>10943.99</v>
      </c>
      <c r="L15" s="167">
        <v>9388.4</v>
      </c>
      <c r="M15" s="167">
        <v>10544.22</v>
      </c>
      <c r="N15" s="167">
        <v>390.5</v>
      </c>
      <c r="O15" s="167">
        <v>1370.43</v>
      </c>
      <c r="P15" s="167">
        <v>2477.69</v>
      </c>
      <c r="Q15" s="167">
        <v>-550.13</v>
      </c>
      <c r="R15" s="167">
        <f t="shared" ref="R15:R39" si="1">+SUM(F15:Q15)</f>
        <v>83498.989999999991</v>
      </c>
      <c r="T15" s="167">
        <f>+R15+R16+R17+R23+R24+R27+R33+R34</f>
        <v>317485.87000000005</v>
      </c>
    </row>
    <row r="16" spans="1:21" x14ac:dyDescent="0.2">
      <c r="A16" s="165">
        <v>100</v>
      </c>
      <c r="B16" s="165">
        <v>4000</v>
      </c>
      <c r="C16" s="165">
        <v>5200</v>
      </c>
      <c r="D16" s="165">
        <v>121</v>
      </c>
      <c r="E16" s="166" t="s">
        <v>359</v>
      </c>
      <c r="F16" s="167">
        <v>0</v>
      </c>
      <c r="G16" s="167">
        <v>0</v>
      </c>
      <c r="H16" s="167">
        <v>0</v>
      </c>
      <c r="I16" s="167">
        <v>0</v>
      </c>
      <c r="J16" s="167">
        <v>0</v>
      </c>
      <c r="K16" s="167">
        <v>0</v>
      </c>
      <c r="L16" s="167">
        <v>0</v>
      </c>
      <c r="M16" s="167">
        <v>0</v>
      </c>
      <c r="N16" s="167">
        <v>0</v>
      </c>
      <c r="O16" s="167">
        <v>418.5</v>
      </c>
      <c r="P16" s="167">
        <v>816.08</v>
      </c>
      <c r="Q16" s="167">
        <v>747.84</v>
      </c>
      <c r="R16" s="167">
        <f t="shared" si="1"/>
        <v>1982.42</v>
      </c>
      <c r="T16" s="167">
        <f>+R18+R25+R28+R35</f>
        <v>18876.320000000003</v>
      </c>
      <c r="U16" s="185">
        <f>+T16/T15</f>
        <v>5.9455622387226244E-2</v>
      </c>
    </row>
    <row r="17" spans="1:21" x14ac:dyDescent="0.2">
      <c r="A17" s="165">
        <v>100</v>
      </c>
      <c r="B17" s="165">
        <v>4000</v>
      </c>
      <c r="C17" s="165">
        <v>5200</v>
      </c>
      <c r="D17" s="165">
        <v>150</v>
      </c>
      <c r="E17" s="166" t="s">
        <v>360</v>
      </c>
      <c r="F17" s="167">
        <v>4833.22</v>
      </c>
      <c r="G17" s="167">
        <v>5181.43</v>
      </c>
      <c r="H17" s="167">
        <v>9488.6299999999992</v>
      </c>
      <c r="I17" s="167">
        <v>11794.34</v>
      </c>
      <c r="J17" s="167">
        <v>9486.48</v>
      </c>
      <c r="K17" s="167">
        <v>8322.99</v>
      </c>
      <c r="L17" s="167">
        <v>9943.27</v>
      </c>
      <c r="M17" s="167">
        <v>10243.719999999999</v>
      </c>
      <c r="N17" s="167">
        <v>9353.11</v>
      </c>
      <c r="O17" s="167">
        <v>7558.96</v>
      </c>
      <c r="P17" s="167">
        <v>7823.77</v>
      </c>
      <c r="Q17" s="167">
        <v>6872.88</v>
      </c>
      <c r="R17" s="167">
        <f t="shared" si="1"/>
        <v>100902.80000000002</v>
      </c>
      <c r="T17" s="167">
        <f>+SUM(R19+R26+R29+R36)</f>
        <v>24528.870000000003</v>
      </c>
      <c r="U17" s="185">
        <f>+T17/T15</f>
        <v>7.7259721826360331E-2</v>
      </c>
    </row>
    <row r="18" spans="1:21" x14ac:dyDescent="0.2">
      <c r="A18" s="165">
        <v>100</v>
      </c>
      <c r="B18" s="165">
        <v>4000</v>
      </c>
      <c r="C18" s="165">
        <v>5200</v>
      </c>
      <c r="D18" s="165">
        <v>210</v>
      </c>
      <c r="E18" s="166" t="s">
        <v>30</v>
      </c>
      <c r="F18" s="167">
        <v>1023.37</v>
      </c>
      <c r="G18" s="167">
        <v>811.78</v>
      </c>
      <c r="H18" s="167">
        <v>1210.3900000000001</v>
      </c>
      <c r="I18" s="167">
        <v>1095.47</v>
      </c>
      <c r="J18" s="167">
        <v>1089.77</v>
      </c>
      <c r="K18" s="167">
        <v>1115.7</v>
      </c>
      <c r="L18" s="167">
        <v>969.67</v>
      </c>
      <c r="M18" s="167">
        <v>1231.6199999999999</v>
      </c>
      <c r="N18" s="167">
        <v>828.79</v>
      </c>
      <c r="O18" s="167">
        <v>903.09</v>
      </c>
      <c r="P18" s="167">
        <v>933.73</v>
      </c>
      <c r="Q18" s="167">
        <v>973.07</v>
      </c>
      <c r="R18" s="167">
        <f t="shared" si="1"/>
        <v>12186.45</v>
      </c>
      <c r="T18" s="167">
        <f>+R20+R30+R37</f>
        <v>27122.989999999998</v>
      </c>
      <c r="U18" s="185">
        <f>+T18/T15</f>
        <v>8.543054215294682E-2</v>
      </c>
    </row>
    <row r="19" spans="1:21" x14ac:dyDescent="0.2">
      <c r="A19" s="165">
        <v>100</v>
      </c>
      <c r="B19" s="165">
        <v>4000</v>
      </c>
      <c r="C19" s="165">
        <v>5200</v>
      </c>
      <c r="D19" s="165">
        <v>220</v>
      </c>
      <c r="E19" s="166" t="s">
        <v>32</v>
      </c>
      <c r="F19" s="167">
        <v>1247.94</v>
      </c>
      <c r="G19" s="167">
        <v>980.86</v>
      </c>
      <c r="H19" s="167">
        <v>1591.25</v>
      </c>
      <c r="I19" s="167">
        <v>1695.1</v>
      </c>
      <c r="J19" s="167">
        <v>1494</v>
      </c>
      <c r="K19" s="167">
        <v>1491.29</v>
      </c>
      <c r="L19" s="167">
        <v>1681.84</v>
      </c>
      <c r="M19" s="167">
        <v>1635.78</v>
      </c>
      <c r="N19" s="167">
        <v>810.08</v>
      </c>
      <c r="O19" s="167">
        <v>802.99</v>
      </c>
      <c r="P19" s="167">
        <v>268.61</v>
      </c>
      <c r="Q19" s="167">
        <v>568.94000000000005</v>
      </c>
      <c r="R19" s="167">
        <f t="shared" si="1"/>
        <v>14268.68</v>
      </c>
      <c r="T19" s="167">
        <f>+R21+R31+R38</f>
        <v>3753.9399999999996</v>
      </c>
      <c r="U19" s="185">
        <f>+T19/T15</f>
        <v>1.182395928360528E-2</v>
      </c>
    </row>
    <row r="20" spans="1:21" x14ac:dyDescent="0.2">
      <c r="A20" s="165">
        <v>100</v>
      </c>
      <c r="B20" s="165">
        <v>4000</v>
      </c>
      <c r="C20" s="165">
        <v>5200</v>
      </c>
      <c r="D20" s="165">
        <v>230</v>
      </c>
      <c r="E20" s="166" t="s">
        <v>361</v>
      </c>
      <c r="F20" s="167">
        <v>1000.54</v>
      </c>
      <c r="G20" s="167">
        <v>-14.08</v>
      </c>
      <c r="H20" s="167">
        <v>0</v>
      </c>
      <c r="I20" s="167">
        <v>-138.38999999999999</v>
      </c>
      <c r="J20" s="167">
        <v>0</v>
      </c>
      <c r="K20" s="167">
        <v>0</v>
      </c>
      <c r="L20" s="167">
        <v>-79.94</v>
      </c>
      <c r="M20" s="167">
        <v>-71.33</v>
      </c>
      <c r="N20" s="167">
        <v>1312.81</v>
      </c>
      <c r="O20" s="167">
        <v>1121.76</v>
      </c>
      <c r="P20" s="167">
        <v>9543.76</v>
      </c>
      <c r="Q20" s="167">
        <v>2256.96</v>
      </c>
      <c r="R20" s="167">
        <f t="shared" si="1"/>
        <v>14932.09</v>
      </c>
      <c r="T20" s="167">
        <f>+R22+R32+R39</f>
        <v>291.86999999999802</v>
      </c>
      <c r="U20" s="185">
        <f>+T20/T15</f>
        <v>9.1931650375494812E-4</v>
      </c>
    </row>
    <row r="21" spans="1:21" x14ac:dyDescent="0.2">
      <c r="A21" s="165">
        <v>100</v>
      </c>
      <c r="B21" s="165">
        <v>4000</v>
      </c>
      <c r="C21" s="165">
        <v>5200</v>
      </c>
      <c r="D21" s="165">
        <v>240</v>
      </c>
      <c r="E21" s="166" t="s">
        <v>362</v>
      </c>
      <c r="F21" s="167">
        <v>0</v>
      </c>
      <c r="G21" s="167">
        <v>2327.29</v>
      </c>
      <c r="H21" s="167">
        <v>0</v>
      </c>
      <c r="I21" s="167">
        <v>0</v>
      </c>
      <c r="J21" s="167">
        <v>0</v>
      </c>
      <c r="K21" s="167">
        <v>0</v>
      </c>
      <c r="L21" s="167">
        <v>-41.53</v>
      </c>
      <c r="M21" s="167">
        <v>0</v>
      </c>
      <c r="N21" s="167">
        <v>0</v>
      </c>
      <c r="O21" s="167">
        <v>-467.48</v>
      </c>
      <c r="P21" s="167">
        <v>549.62</v>
      </c>
      <c r="Q21" s="167">
        <v>0</v>
      </c>
      <c r="R21" s="167">
        <f t="shared" si="1"/>
        <v>2367.8999999999996</v>
      </c>
      <c r="T21" s="167">
        <f>SUM(T15:T20)</f>
        <v>392059.86000000004</v>
      </c>
      <c r="U21" s="185">
        <f>+T21/T15</f>
        <v>1.2348891621538935</v>
      </c>
    </row>
    <row r="22" spans="1:21" x14ac:dyDescent="0.2">
      <c r="A22" s="165">
        <v>100</v>
      </c>
      <c r="B22" s="165">
        <v>4000</v>
      </c>
      <c r="C22" s="165">
        <v>5200</v>
      </c>
      <c r="D22" s="165">
        <v>250</v>
      </c>
      <c r="E22" s="166" t="s">
        <v>363</v>
      </c>
      <c r="F22" s="167">
        <v>930.99</v>
      </c>
      <c r="G22" s="167">
        <v>1831.22</v>
      </c>
      <c r="H22" s="167">
        <v>1831.22</v>
      </c>
      <c r="I22" s="167">
        <v>1379.56</v>
      </c>
      <c r="J22" s="167">
        <v>2441.91</v>
      </c>
      <c r="K22" s="167">
        <v>1059.68</v>
      </c>
      <c r="L22" s="167">
        <v>1128.18</v>
      </c>
      <c r="M22" s="167">
        <v>1691.89</v>
      </c>
      <c r="N22" s="167">
        <v>33.56</v>
      </c>
      <c r="O22" s="167">
        <v>-128.09</v>
      </c>
      <c r="P22" s="167">
        <v>-12112.54</v>
      </c>
      <c r="Q22" s="167">
        <v>31.66</v>
      </c>
      <c r="R22" s="167">
        <f t="shared" si="1"/>
        <v>119.2399999999981</v>
      </c>
    </row>
    <row r="23" spans="1:21" x14ac:dyDescent="0.2">
      <c r="A23" s="165">
        <v>495</v>
      </c>
      <c r="B23" s="165">
        <v>4000</v>
      </c>
      <c r="C23" s="165">
        <v>5900</v>
      </c>
      <c r="D23" s="165">
        <v>120</v>
      </c>
      <c r="E23" s="166" t="s">
        <v>437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7">
        <v>0</v>
      </c>
      <c r="L23" s="167">
        <v>0</v>
      </c>
      <c r="M23" s="167">
        <v>0</v>
      </c>
      <c r="N23" s="167">
        <v>8153.6</v>
      </c>
      <c r="O23" s="167">
        <v>8153.6</v>
      </c>
      <c r="P23" s="167">
        <v>8153.6</v>
      </c>
      <c r="Q23" s="167">
        <v>13939.2</v>
      </c>
      <c r="R23" s="167">
        <f t="shared" si="1"/>
        <v>38400</v>
      </c>
    </row>
    <row r="24" spans="1:21" x14ac:dyDescent="0.2">
      <c r="A24" s="165">
        <v>495</v>
      </c>
      <c r="B24" s="165">
        <v>4000</v>
      </c>
      <c r="C24" s="165">
        <v>5900</v>
      </c>
      <c r="D24" s="165">
        <v>150</v>
      </c>
      <c r="E24" s="166" t="s">
        <v>438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67">
        <v>1380.38</v>
      </c>
      <c r="O24" s="167">
        <v>2427.3000000000002</v>
      </c>
      <c r="P24" s="167">
        <v>2280.85</v>
      </c>
      <c r="Q24" s="167">
        <v>5438.44</v>
      </c>
      <c r="R24" s="167">
        <f t="shared" si="1"/>
        <v>11526.970000000001</v>
      </c>
    </row>
    <row r="25" spans="1:21" x14ac:dyDescent="0.2">
      <c r="A25" s="165">
        <v>495</v>
      </c>
      <c r="B25" s="165">
        <v>4000</v>
      </c>
      <c r="C25" s="165">
        <v>5900</v>
      </c>
      <c r="D25" s="165">
        <v>210</v>
      </c>
      <c r="E25" s="166" t="s">
        <v>439</v>
      </c>
      <c r="F25" s="167">
        <v>0</v>
      </c>
      <c r="G25" s="167">
        <v>0</v>
      </c>
      <c r="H25" s="167">
        <v>0</v>
      </c>
      <c r="I25" s="167">
        <v>0</v>
      </c>
      <c r="J25" s="167">
        <v>0</v>
      </c>
      <c r="K25" s="167">
        <v>0</v>
      </c>
      <c r="L25" s="167">
        <v>0</v>
      </c>
      <c r="M25" s="167">
        <v>0</v>
      </c>
      <c r="N25" s="167">
        <v>309.83</v>
      </c>
      <c r="O25" s="167">
        <v>309.83999999999997</v>
      </c>
      <c r="P25" s="167">
        <v>309.83999999999997</v>
      </c>
      <c r="Q25" s="167">
        <v>529.69000000000005</v>
      </c>
      <c r="R25" s="167">
        <f t="shared" si="1"/>
        <v>1459.2</v>
      </c>
    </row>
    <row r="26" spans="1:21" x14ac:dyDescent="0.2">
      <c r="A26" s="165">
        <v>495</v>
      </c>
      <c r="B26" s="165">
        <v>4000</v>
      </c>
      <c r="C26" s="165">
        <v>5900</v>
      </c>
      <c r="D26" s="165">
        <v>220</v>
      </c>
      <c r="E26" s="166" t="s">
        <v>440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7">
        <v>0</v>
      </c>
      <c r="L26" s="167">
        <v>0</v>
      </c>
      <c r="M26" s="167">
        <v>0</v>
      </c>
      <c r="N26" s="167">
        <v>729.35</v>
      </c>
      <c r="O26" s="167">
        <v>809.43</v>
      </c>
      <c r="P26" s="167">
        <v>798.23</v>
      </c>
      <c r="Q26" s="167">
        <v>1482.4</v>
      </c>
      <c r="R26" s="167">
        <f t="shared" si="1"/>
        <v>3819.4100000000003</v>
      </c>
    </row>
    <row r="27" spans="1:21" x14ac:dyDescent="0.2">
      <c r="A27" s="165">
        <v>100</v>
      </c>
      <c r="B27" s="165">
        <v>4000</v>
      </c>
      <c r="C27" s="165">
        <v>6100</v>
      </c>
      <c r="D27" s="165">
        <v>150</v>
      </c>
      <c r="E27" s="166" t="s">
        <v>365</v>
      </c>
      <c r="F27" s="167">
        <v>1974.24</v>
      </c>
      <c r="G27" s="167">
        <v>3357.91</v>
      </c>
      <c r="H27" s="167">
        <v>7130.67</v>
      </c>
      <c r="I27" s="167">
        <v>8465.1200000000008</v>
      </c>
      <c r="J27" s="167">
        <v>7073.97</v>
      </c>
      <c r="K27" s="167">
        <v>3828.1</v>
      </c>
      <c r="L27" s="167">
        <v>7260.4</v>
      </c>
      <c r="M27" s="167">
        <v>5444.78</v>
      </c>
      <c r="N27" s="167">
        <v>4676.9799999999996</v>
      </c>
      <c r="O27" s="167">
        <v>5771.48</v>
      </c>
      <c r="P27" s="167">
        <v>5851.26</v>
      </c>
      <c r="Q27" s="167">
        <v>5820.95</v>
      </c>
      <c r="R27" s="167">
        <f t="shared" si="1"/>
        <v>66655.86</v>
      </c>
    </row>
    <row r="28" spans="1:21" x14ac:dyDescent="0.2">
      <c r="A28" s="165">
        <v>100</v>
      </c>
      <c r="B28" s="165">
        <v>4000</v>
      </c>
      <c r="C28" s="165">
        <v>6100</v>
      </c>
      <c r="D28" s="165">
        <v>210</v>
      </c>
      <c r="E28" s="166" t="s">
        <v>30</v>
      </c>
      <c r="F28" s="167">
        <v>134.79</v>
      </c>
      <c r="G28" s="167">
        <v>206.57</v>
      </c>
      <c r="H28" s="167">
        <v>438.64</v>
      </c>
      <c r="I28" s="167">
        <v>422.89</v>
      </c>
      <c r="J28" s="167">
        <v>437.98</v>
      </c>
      <c r="K28" s="167">
        <v>392.84</v>
      </c>
      <c r="L28" s="167">
        <v>387.09</v>
      </c>
      <c r="M28" s="167">
        <v>390.57</v>
      </c>
      <c r="N28" s="167">
        <v>329.05</v>
      </c>
      <c r="O28" s="167">
        <v>425.35</v>
      </c>
      <c r="P28" s="167">
        <v>431.24</v>
      </c>
      <c r="Q28" s="167">
        <v>429.01</v>
      </c>
      <c r="R28" s="167">
        <f t="shared" si="1"/>
        <v>4426.0200000000004</v>
      </c>
    </row>
    <row r="29" spans="1:21" x14ac:dyDescent="0.2">
      <c r="A29" s="165">
        <v>100</v>
      </c>
      <c r="B29" s="165">
        <v>4000</v>
      </c>
      <c r="C29" s="165">
        <v>6100</v>
      </c>
      <c r="D29" s="165">
        <v>220</v>
      </c>
      <c r="E29" s="166" t="s">
        <v>32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7">
        <v>2514.86</v>
      </c>
      <c r="L29" s="167">
        <v>631.66</v>
      </c>
      <c r="M29" s="167">
        <v>429.61</v>
      </c>
      <c r="N29" s="167">
        <v>357.79</v>
      </c>
      <c r="O29" s="167">
        <v>441.53</v>
      </c>
      <c r="P29" s="167">
        <v>447.61</v>
      </c>
      <c r="Q29" s="167">
        <v>445.3</v>
      </c>
      <c r="R29" s="167">
        <f t="shared" si="1"/>
        <v>5268.36</v>
      </c>
    </row>
    <row r="30" spans="1:21" x14ac:dyDescent="0.2">
      <c r="A30" s="165">
        <v>100</v>
      </c>
      <c r="B30" s="165">
        <v>4000</v>
      </c>
      <c r="C30" s="165">
        <v>6100</v>
      </c>
      <c r="D30" s="165">
        <v>230</v>
      </c>
      <c r="E30" s="166" t="s">
        <v>361</v>
      </c>
      <c r="F30" s="167">
        <v>0</v>
      </c>
      <c r="G30" s="167">
        <v>0</v>
      </c>
      <c r="H30" s="167">
        <v>0</v>
      </c>
      <c r="I30" s="167">
        <v>0</v>
      </c>
      <c r="J30" s="167">
        <v>0</v>
      </c>
      <c r="K30" s="167">
        <v>0</v>
      </c>
      <c r="L30" s="167">
        <v>0</v>
      </c>
      <c r="M30" s="167">
        <v>0</v>
      </c>
      <c r="N30" s="167">
        <v>813.3</v>
      </c>
      <c r="O30" s="167">
        <v>964.22</v>
      </c>
      <c r="P30" s="167">
        <v>970.72</v>
      </c>
      <c r="Q30" s="167">
        <v>774.76</v>
      </c>
      <c r="R30" s="167">
        <f t="shared" si="1"/>
        <v>3523</v>
      </c>
    </row>
    <row r="31" spans="1:21" x14ac:dyDescent="0.2">
      <c r="A31" s="165">
        <v>100</v>
      </c>
      <c r="B31" s="165">
        <v>4000</v>
      </c>
      <c r="C31" s="165">
        <v>6100</v>
      </c>
      <c r="D31" s="165">
        <v>240</v>
      </c>
      <c r="E31" s="166" t="s">
        <v>362</v>
      </c>
      <c r="F31" s="167">
        <v>0</v>
      </c>
      <c r="G31" s="167">
        <v>298.37</v>
      </c>
      <c r="H31" s="167">
        <v>0</v>
      </c>
      <c r="I31" s="167">
        <v>0</v>
      </c>
      <c r="J31" s="167">
        <v>0</v>
      </c>
      <c r="K31" s="167">
        <v>0</v>
      </c>
      <c r="L31" s="167">
        <v>0</v>
      </c>
      <c r="M31" s="167">
        <v>0</v>
      </c>
      <c r="N31" s="167">
        <v>0</v>
      </c>
      <c r="O31" s="167">
        <v>0</v>
      </c>
      <c r="P31" s="167">
        <v>0</v>
      </c>
      <c r="Q31" s="167">
        <v>0</v>
      </c>
      <c r="R31" s="167">
        <f t="shared" si="1"/>
        <v>298.37</v>
      </c>
    </row>
    <row r="32" spans="1:21" x14ac:dyDescent="0.2">
      <c r="A32" s="165">
        <v>100</v>
      </c>
      <c r="B32" s="165">
        <v>4000</v>
      </c>
      <c r="C32" s="165">
        <v>6100</v>
      </c>
      <c r="D32" s="165">
        <v>250</v>
      </c>
      <c r="E32" s="166" t="s">
        <v>363</v>
      </c>
      <c r="F32" s="167">
        <v>61.93</v>
      </c>
      <c r="G32" s="167">
        <v>586.07000000000005</v>
      </c>
      <c r="H32" s="167">
        <v>648</v>
      </c>
      <c r="I32" s="167">
        <v>990.78</v>
      </c>
      <c r="J32" s="167">
        <v>1038.3399999999999</v>
      </c>
      <c r="K32" s="167">
        <v>916.94</v>
      </c>
      <c r="L32" s="167">
        <v>977.22</v>
      </c>
      <c r="M32" s="167">
        <v>1207.93</v>
      </c>
      <c r="N32" s="167">
        <v>11.24</v>
      </c>
      <c r="O32" s="167">
        <v>-40.130000000000003</v>
      </c>
      <c r="P32" s="167">
        <v>-6239.78</v>
      </c>
      <c r="Q32" s="167">
        <v>4.5</v>
      </c>
      <c r="R32" s="167">
        <f t="shared" si="1"/>
        <v>163.03999999999996</v>
      </c>
    </row>
    <row r="33" spans="1:18" x14ac:dyDescent="0.2">
      <c r="A33" s="165">
        <v>100</v>
      </c>
      <c r="B33" s="165">
        <v>4000</v>
      </c>
      <c r="C33" s="165">
        <v>7300</v>
      </c>
      <c r="D33" s="165">
        <v>110</v>
      </c>
      <c r="E33" s="166" t="s">
        <v>366</v>
      </c>
      <c r="F33" s="167">
        <v>1547.23</v>
      </c>
      <c r="G33" s="167">
        <v>3318.32</v>
      </c>
      <c r="H33" s="167">
        <v>0</v>
      </c>
      <c r="I33" s="167">
        <v>0</v>
      </c>
      <c r="J33" s="167">
        <v>0</v>
      </c>
      <c r="K33" s="167">
        <v>0</v>
      </c>
      <c r="L33" s="167">
        <v>0</v>
      </c>
      <c r="M33" s="167">
        <v>0</v>
      </c>
      <c r="N33" s="167">
        <v>0</v>
      </c>
      <c r="O33" s="167">
        <v>0</v>
      </c>
      <c r="P33" s="167">
        <v>0</v>
      </c>
      <c r="Q33" s="167">
        <v>0</v>
      </c>
      <c r="R33" s="167">
        <f t="shared" si="1"/>
        <v>4865.55</v>
      </c>
    </row>
    <row r="34" spans="1:18" x14ac:dyDescent="0.2">
      <c r="A34" s="165">
        <v>100</v>
      </c>
      <c r="B34" s="165">
        <v>4000</v>
      </c>
      <c r="C34" s="165">
        <v>7300</v>
      </c>
      <c r="D34" s="165">
        <v>160</v>
      </c>
      <c r="E34" s="166" t="s">
        <v>367</v>
      </c>
      <c r="F34" s="167">
        <v>835.66</v>
      </c>
      <c r="G34" s="167">
        <v>581.4</v>
      </c>
      <c r="H34" s="167">
        <v>646</v>
      </c>
      <c r="I34" s="167">
        <v>646</v>
      </c>
      <c r="J34" s="167">
        <v>646</v>
      </c>
      <c r="K34" s="167">
        <v>787.31</v>
      </c>
      <c r="L34" s="167">
        <v>1169.58</v>
      </c>
      <c r="M34" s="167">
        <v>613.70000000000005</v>
      </c>
      <c r="N34" s="167">
        <v>935.8</v>
      </c>
      <c r="O34" s="167">
        <v>718.68</v>
      </c>
      <c r="P34" s="167">
        <v>1048.5</v>
      </c>
      <c r="Q34" s="167">
        <v>1024.6500000000001</v>
      </c>
      <c r="R34" s="167">
        <f t="shared" si="1"/>
        <v>9653.2800000000007</v>
      </c>
    </row>
    <row r="35" spans="1:18" x14ac:dyDescent="0.2">
      <c r="A35" s="165">
        <v>100</v>
      </c>
      <c r="B35" s="165">
        <v>4000</v>
      </c>
      <c r="C35" s="165">
        <v>7300</v>
      </c>
      <c r="D35" s="165">
        <v>210</v>
      </c>
      <c r="E35" s="166" t="s">
        <v>30</v>
      </c>
      <c r="F35" s="167">
        <v>114.04</v>
      </c>
      <c r="G35" s="167">
        <v>155.34</v>
      </c>
      <c r="H35" s="167">
        <v>47.62</v>
      </c>
      <c r="I35" s="167">
        <v>47.62</v>
      </c>
      <c r="J35" s="167">
        <v>47.62</v>
      </c>
      <c r="K35" s="167">
        <v>58.03</v>
      </c>
      <c r="L35" s="167">
        <v>86.2</v>
      </c>
      <c r="M35" s="167">
        <v>45.23</v>
      </c>
      <c r="N35" s="167">
        <v>47.61</v>
      </c>
      <c r="O35" s="167">
        <v>52.96</v>
      </c>
      <c r="P35" s="167">
        <v>47.62</v>
      </c>
      <c r="Q35" s="167">
        <v>54.76</v>
      </c>
      <c r="R35" s="167">
        <f t="shared" si="1"/>
        <v>804.65000000000009</v>
      </c>
    </row>
    <row r="36" spans="1:18" x14ac:dyDescent="0.2">
      <c r="A36" s="165">
        <v>100</v>
      </c>
      <c r="B36" s="165">
        <v>4000</v>
      </c>
      <c r="C36" s="165">
        <v>7300</v>
      </c>
      <c r="D36" s="165">
        <v>220</v>
      </c>
      <c r="E36" s="166" t="s">
        <v>32</v>
      </c>
      <c r="F36" s="167">
        <v>185.64</v>
      </c>
      <c r="G36" s="167">
        <v>304.44</v>
      </c>
      <c r="H36" s="167">
        <v>56.2</v>
      </c>
      <c r="I36" s="167">
        <v>52.64</v>
      </c>
      <c r="J36" s="167">
        <v>49.42</v>
      </c>
      <c r="K36" s="167">
        <v>60.23</v>
      </c>
      <c r="L36" s="167">
        <v>130.24</v>
      </c>
      <c r="M36" s="167">
        <v>48.43</v>
      </c>
      <c r="N36" s="167">
        <v>71.59</v>
      </c>
      <c r="O36" s="167">
        <v>54.98</v>
      </c>
      <c r="P36" s="167">
        <v>80.22</v>
      </c>
      <c r="Q36" s="167">
        <v>78.39</v>
      </c>
      <c r="R36" s="167">
        <f t="shared" si="1"/>
        <v>1172.42</v>
      </c>
    </row>
    <row r="37" spans="1:18" x14ac:dyDescent="0.2">
      <c r="A37" s="165">
        <v>100</v>
      </c>
      <c r="B37" s="165">
        <v>4000</v>
      </c>
      <c r="C37" s="165">
        <v>7300</v>
      </c>
      <c r="D37" s="165">
        <v>230</v>
      </c>
      <c r="E37" s="166" t="s">
        <v>361</v>
      </c>
      <c r="F37" s="167">
        <v>262.07</v>
      </c>
      <c r="G37" s="167">
        <v>0</v>
      </c>
      <c r="H37" s="167">
        <v>0</v>
      </c>
      <c r="I37" s="167">
        <v>0</v>
      </c>
      <c r="J37" s="167">
        <v>467.23</v>
      </c>
      <c r="K37" s="167">
        <v>0</v>
      </c>
      <c r="L37" s="167">
        <v>0</v>
      </c>
      <c r="M37" s="167">
        <v>0</v>
      </c>
      <c r="N37" s="167">
        <v>0</v>
      </c>
      <c r="O37" s="167">
        <v>0</v>
      </c>
      <c r="P37" s="167">
        <v>8248.58</v>
      </c>
      <c r="Q37" s="167">
        <v>-309.98</v>
      </c>
      <c r="R37" s="167">
        <f t="shared" si="1"/>
        <v>8667.9</v>
      </c>
    </row>
    <row r="38" spans="1:18" x14ac:dyDescent="0.2">
      <c r="A38" s="165">
        <v>100</v>
      </c>
      <c r="B38" s="165">
        <v>4000</v>
      </c>
      <c r="C38" s="165">
        <v>7300</v>
      </c>
      <c r="D38" s="165">
        <v>240</v>
      </c>
      <c r="E38" s="166" t="s">
        <v>362</v>
      </c>
      <c r="F38" s="167">
        <v>0</v>
      </c>
      <c r="G38" s="167">
        <v>358.05</v>
      </c>
      <c r="H38" s="167">
        <v>0</v>
      </c>
      <c r="I38" s="167">
        <v>0</v>
      </c>
      <c r="J38" s="167">
        <v>0</v>
      </c>
      <c r="K38" s="167">
        <v>0</v>
      </c>
      <c r="L38" s="167">
        <v>0</v>
      </c>
      <c r="M38" s="167">
        <v>0</v>
      </c>
      <c r="N38" s="167">
        <v>0</v>
      </c>
      <c r="O38" s="167">
        <v>0</v>
      </c>
      <c r="P38" s="167">
        <v>729.62</v>
      </c>
      <c r="Q38" s="167">
        <v>0</v>
      </c>
      <c r="R38" s="167">
        <f t="shared" si="1"/>
        <v>1087.67</v>
      </c>
    </row>
    <row r="39" spans="1:18" x14ac:dyDescent="0.2">
      <c r="A39" s="165">
        <v>100</v>
      </c>
      <c r="B39" s="165">
        <v>4000</v>
      </c>
      <c r="C39" s="165">
        <v>7300</v>
      </c>
      <c r="D39" s="165">
        <v>250</v>
      </c>
      <c r="E39" s="166" t="s">
        <v>363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7">
        <v>0</v>
      </c>
      <c r="M39" s="167">
        <v>18.61</v>
      </c>
      <c r="N39" s="167">
        <v>2.25</v>
      </c>
      <c r="O39" s="167">
        <v>-16.260000000000002</v>
      </c>
      <c r="P39" s="167">
        <v>2.52</v>
      </c>
      <c r="Q39" s="167">
        <v>2.4700000000000002</v>
      </c>
      <c r="R39" s="167">
        <f t="shared" si="1"/>
        <v>9.5899999999999981</v>
      </c>
    </row>
    <row r="40" spans="1:18" x14ac:dyDescent="0.2">
      <c r="A40" s="165"/>
      <c r="B40" s="165"/>
      <c r="C40" s="165"/>
      <c r="D40" s="165"/>
      <c r="R40" s="167">
        <f>SUM(R15:R39)</f>
        <v>392059.86000000004</v>
      </c>
    </row>
    <row r="41" spans="1:18" x14ac:dyDescent="0.2">
      <c r="A41" s="165"/>
      <c r="B41" s="165"/>
      <c r="C41" s="165"/>
      <c r="D41" s="165"/>
    </row>
    <row r="42" spans="1:18" x14ac:dyDescent="0.2">
      <c r="A42" s="165"/>
      <c r="B42" s="165"/>
      <c r="C42" s="165"/>
      <c r="D42" s="165"/>
    </row>
    <row r="43" spans="1:18" x14ac:dyDescent="0.2">
      <c r="A43" s="165">
        <v>100</v>
      </c>
      <c r="B43" s="165">
        <v>4000</v>
      </c>
      <c r="C43" s="165">
        <v>5200</v>
      </c>
      <c r="D43" s="165">
        <v>310</v>
      </c>
      <c r="E43" s="166" t="s">
        <v>148</v>
      </c>
      <c r="F43" s="167">
        <v>1819.72</v>
      </c>
      <c r="G43" s="167">
        <v>2130.33</v>
      </c>
      <c r="H43" s="167">
        <v>1930</v>
      </c>
      <c r="I43" s="167">
        <v>4276</v>
      </c>
      <c r="J43" s="167">
        <v>1502</v>
      </c>
      <c r="K43" s="167">
        <v>5729.7</v>
      </c>
      <c r="L43" s="167">
        <v>1744</v>
      </c>
      <c r="M43" s="167">
        <v>3229</v>
      </c>
      <c r="N43" s="167">
        <v>1057</v>
      </c>
      <c r="O43" s="167">
        <v>-2342</v>
      </c>
      <c r="P43" s="167">
        <v>2351.15</v>
      </c>
      <c r="Q43" s="167">
        <v>-6112.62</v>
      </c>
      <c r="R43" s="167">
        <f t="shared" ref="R43:R80" si="2">+SUM(F43:Q43)</f>
        <v>17314.280000000002</v>
      </c>
    </row>
    <row r="44" spans="1:18" x14ac:dyDescent="0.2">
      <c r="A44" s="165">
        <v>100</v>
      </c>
      <c r="B44" s="165">
        <v>4000</v>
      </c>
      <c r="C44" s="165">
        <v>5200</v>
      </c>
      <c r="D44" s="165">
        <v>315</v>
      </c>
      <c r="E44" s="166" t="s">
        <v>296</v>
      </c>
      <c r="F44" s="167">
        <v>79.75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7">
        <v>0</v>
      </c>
      <c r="M44" s="167">
        <v>0</v>
      </c>
      <c r="N44" s="167">
        <v>0</v>
      </c>
      <c r="O44" s="167">
        <v>1170</v>
      </c>
      <c r="P44" s="167">
        <v>-546</v>
      </c>
      <c r="Q44" s="167">
        <v>190</v>
      </c>
      <c r="R44" s="167">
        <f t="shared" si="2"/>
        <v>893.75</v>
      </c>
    </row>
    <row r="45" spans="1:18" x14ac:dyDescent="0.2">
      <c r="A45" s="165">
        <v>100</v>
      </c>
      <c r="B45" s="165">
        <v>4000</v>
      </c>
      <c r="C45" s="165">
        <v>5200</v>
      </c>
      <c r="D45" s="165">
        <v>330</v>
      </c>
      <c r="E45" s="166" t="s">
        <v>300</v>
      </c>
      <c r="F45" s="167">
        <v>7904.22</v>
      </c>
      <c r="G45" s="167">
        <v>15609</v>
      </c>
      <c r="H45" s="167">
        <v>10264.200000000001</v>
      </c>
      <c r="I45" s="167">
        <v>6392.46</v>
      </c>
      <c r="J45" s="167">
        <v>21463.360000000001</v>
      </c>
      <c r="K45" s="167">
        <v>17111.36</v>
      </c>
      <c r="L45" s="167">
        <v>1836.92</v>
      </c>
      <c r="M45" s="167">
        <v>3117.94</v>
      </c>
      <c r="N45" s="167">
        <v>5611.76</v>
      </c>
      <c r="O45" s="167">
        <v>-12545.05</v>
      </c>
      <c r="P45" s="167">
        <v>5071.82</v>
      </c>
      <c r="Q45" s="167">
        <v>4281.5</v>
      </c>
      <c r="R45" s="167">
        <f t="shared" si="2"/>
        <v>86119.489999999991</v>
      </c>
    </row>
    <row r="46" spans="1:18" x14ac:dyDescent="0.2">
      <c r="A46" s="165">
        <v>100</v>
      </c>
      <c r="B46" s="165">
        <v>4000</v>
      </c>
      <c r="C46" s="165">
        <v>5200</v>
      </c>
      <c r="D46" s="165">
        <v>390</v>
      </c>
      <c r="E46" s="166" t="s">
        <v>301</v>
      </c>
      <c r="F46" s="167">
        <v>0</v>
      </c>
      <c r="G46" s="167">
        <v>0</v>
      </c>
      <c r="H46" s="167">
        <v>1912.15</v>
      </c>
      <c r="I46" s="167">
        <v>314</v>
      </c>
      <c r="J46" s="167">
        <v>542.17999999999995</v>
      </c>
      <c r="K46" s="167">
        <v>418.5</v>
      </c>
      <c r="L46" s="167">
        <v>0</v>
      </c>
      <c r="M46" s="167">
        <v>3987</v>
      </c>
      <c r="N46" s="167">
        <v>62.5</v>
      </c>
      <c r="O46" s="167">
        <v>0</v>
      </c>
      <c r="P46" s="167">
        <v>835</v>
      </c>
      <c r="Q46" s="167">
        <v>499.25</v>
      </c>
      <c r="R46" s="167">
        <f t="shared" si="2"/>
        <v>8570.58</v>
      </c>
    </row>
    <row r="47" spans="1:18" x14ac:dyDescent="0.2">
      <c r="A47" s="165">
        <v>100</v>
      </c>
      <c r="B47" s="165">
        <v>4000</v>
      </c>
      <c r="C47" s="165">
        <v>5200</v>
      </c>
      <c r="D47" s="165">
        <v>510</v>
      </c>
      <c r="E47" s="166" t="s">
        <v>302</v>
      </c>
      <c r="F47" s="167">
        <v>1065.04</v>
      </c>
      <c r="G47" s="167">
        <v>4823.76</v>
      </c>
      <c r="H47" s="167">
        <v>4666.3599999999997</v>
      </c>
      <c r="I47" s="167">
        <v>2631.3</v>
      </c>
      <c r="J47" s="167">
        <v>10590.47</v>
      </c>
      <c r="K47" s="167">
        <v>8231.51</v>
      </c>
      <c r="L47" s="167">
        <v>7094.23</v>
      </c>
      <c r="M47" s="167">
        <v>4110.57</v>
      </c>
      <c r="N47" s="167">
        <v>1326.64</v>
      </c>
      <c r="O47" s="167">
        <v>2781.61</v>
      </c>
      <c r="P47" s="167">
        <v>9301.56</v>
      </c>
      <c r="Q47" s="167">
        <v>5909.86</v>
      </c>
      <c r="R47" s="167">
        <f t="shared" si="2"/>
        <v>62532.909999999996</v>
      </c>
    </row>
    <row r="48" spans="1:18" x14ac:dyDescent="0.2">
      <c r="A48" s="165">
        <v>100</v>
      </c>
      <c r="B48" s="165">
        <v>4000</v>
      </c>
      <c r="C48" s="165">
        <v>5200</v>
      </c>
      <c r="D48" s="165">
        <v>520</v>
      </c>
      <c r="E48" s="166" t="s">
        <v>303</v>
      </c>
      <c r="F48" s="167">
        <v>0</v>
      </c>
      <c r="G48" s="167">
        <v>0</v>
      </c>
      <c r="H48" s="167">
        <v>0</v>
      </c>
      <c r="I48" s="167">
        <v>0</v>
      </c>
      <c r="J48" s="167">
        <v>0</v>
      </c>
      <c r="K48" s="167">
        <v>0</v>
      </c>
      <c r="L48" s="167">
        <v>0</v>
      </c>
      <c r="M48" s="167">
        <v>0</v>
      </c>
      <c r="N48" s="167">
        <v>0</v>
      </c>
      <c r="O48" s="167">
        <v>0</v>
      </c>
      <c r="P48" s="167">
        <v>0</v>
      </c>
      <c r="Q48" s="167">
        <v>110.05</v>
      </c>
      <c r="R48" s="167">
        <f t="shared" si="2"/>
        <v>110.05</v>
      </c>
    </row>
    <row r="49" spans="1:18" x14ac:dyDescent="0.2">
      <c r="A49" s="165">
        <v>100</v>
      </c>
      <c r="B49" s="165">
        <v>4000</v>
      </c>
      <c r="C49" s="165">
        <v>5200</v>
      </c>
      <c r="D49" s="165">
        <v>640</v>
      </c>
      <c r="E49" s="166" t="s">
        <v>337</v>
      </c>
      <c r="F49" s="167">
        <v>0</v>
      </c>
      <c r="G49" s="167">
        <v>0</v>
      </c>
      <c r="H49" s="167">
        <v>0</v>
      </c>
      <c r="I49" s="167">
        <v>0</v>
      </c>
      <c r="J49" s="167">
        <v>0</v>
      </c>
      <c r="K49" s="167">
        <v>0</v>
      </c>
      <c r="L49" s="167">
        <v>0</v>
      </c>
      <c r="M49" s="167">
        <v>0</v>
      </c>
      <c r="N49" s="167">
        <v>0</v>
      </c>
      <c r="O49" s="167">
        <v>0</v>
      </c>
      <c r="P49" s="167">
        <v>199.99</v>
      </c>
      <c r="Q49" s="167">
        <v>0</v>
      </c>
      <c r="R49" s="167">
        <f t="shared" si="2"/>
        <v>199.99</v>
      </c>
    </row>
    <row r="50" spans="1:18" x14ac:dyDescent="0.2">
      <c r="A50" s="165">
        <v>100</v>
      </c>
      <c r="B50" s="165">
        <v>4000</v>
      </c>
      <c r="C50" s="165">
        <v>5200</v>
      </c>
      <c r="D50" s="165">
        <v>690</v>
      </c>
      <c r="E50" s="166" t="s">
        <v>339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7">
        <v>0</v>
      </c>
      <c r="L50" s="167">
        <v>0</v>
      </c>
      <c r="M50" s="167">
        <v>0</v>
      </c>
      <c r="N50" s="167">
        <v>0</v>
      </c>
      <c r="O50" s="167">
        <v>0</v>
      </c>
      <c r="P50" s="167">
        <v>0</v>
      </c>
      <c r="Q50" s="167">
        <v>2039</v>
      </c>
      <c r="R50" s="167">
        <f t="shared" si="2"/>
        <v>2039</v>
      </c>
    </row>
    <row r="51" spans="1:18" x14ac:dyDescent="0.2">
      <c r="A51" s="165">
        <v>100</v>
      </c>
      <c r="B51" s="165">
        <v>4000</v>
      </c>
      <c r="C51" s="165">
        <v>5200</v>
      </c>
      <c r="D51" s="165">
        <v>750</v>
      </c>
      <c r="E51" s="166" t="s">
        <v>304</v>
      </c>
      <c r="F51" s="167">
        <v>681.05</v>
      </c>
      <c r="G51" s="167">
        <v>0</v>
      </c>
      <c r="H51" s="167">
        <v>0</v>
      </c>
      <c r="I51" s="167">
        <v>0</v>
      </c>
      <c r="J51" s="167">
        <v>0</v>
      </c>
      <c r="K51" s="167">
        <v>320</v>
      </c>
      <c r="L51" s="167">
        <v>0</v>
      </c>
      <c r="M51" s="167">
        <v>0</v>
      </c>
      <c r="N51" s="167">
        <v>845</v>
      </c>
      <c r="O51" s="167">
        <v>1148.51</v>
      </c>
      <c r="P51" s="167">
        <v>792.5</v>
      </c>
      <c r="Q51" s="167">
        <v>366.28</v>
      </c>
      <c r="R51" s="167">
        <f t="shared" si="2"/>
        <v>4153.34</v>
      </c>
    </row>
    <row r="52" spans="1:18" x14ac:dyDescent="0.2">
      <c r="A52" s="165">
        <v>495</v>
      </c>
      <c r="B52" s="165">
        <v>4000</v>
      </c>
      <c r="C52" s="165">
        <v>5900</v>
      </c>
      <c r="D52" s="165">
        <v>310</v>
      </c>
      <c r="E52" s="166" t="s">
        <v>418</v>
      </c>
      <c r="F52" s="167">
        <v>0</v>
      </c>
      <c r="G52" s="167">
        <v>0</v>
      </c>
      <c r="H52" s="167">
        <v>0</v>
      </c>
      <c r="I52" s="167">
        <v>0</v>
      </c>
      <c r="J52" s="167">
        <v>0</v>
      </c>
      <c r="K52" s="167">
        <v>0</v>
      </c>
      <c r="L52" s="167">
        <v>0</v>
      </c>
      <c r="M52" s="167">
        <v>0</v>
      </c>
      <c r="N52" s="167">
        <v>1310</v>
      </c>
      <c r="O52" s="167">
        <v>6125</v>
      </c>
      <c r="P52" s="167">
        <v>4500.5</v>
      </c>
      <c r="Q52" s="167">
        <v>10843.36</v>
      </c>
      <c r="R52" s="167">
        <f t="shared" si="2"/>
        <v>22778.86</v>
      </c>
    </row>
    <row r="53" spans="1:18" x14ac:dyDescent="0.2">
      <c r="A53" s="165">
        <v>495</v>
      </c>
      <c r="B53" s="165">
        <v>4000</v>
      </c>
      <c r="C53" s="165">
        <v>5900</v>
      </c>
      <c r="D53" s="165">
        <v>330</v>
      </c>
      <c r="E53" s="166" t="s">
        <v>419</v>
      </c>
      <c r="F53" s="167">
        <v>0</v>
      </c>
      <c r="G53" s="167">
        <v>0</v>
      </c>
      <c r="H53" s="167">
        <v>0</v>
      </c>
      <c r="I53" s="167">
        <v>0</v>
      </c>
      <c r="J53" s="167">
        <v>0</v>
      </c>
      <c r="K53" s="167">
        <v>0</v>
      </c>
      <c r="L53" s="167">
        <v>0</v>
      </c>
      <c r="M53" s="167">
        <v>0</v>
      </c>
      <c r="N53" s="167">
        <v>0</v>
      </c>
      <c r="O53" s="167">
        <v>21246.13</v>
      </c>
      <c r="P53" s="167">
        <v>0</v>
      </c>
      <c r="Q53" s="167">
        <v>-1423.28</v>
      </c>
      <c r="R53" s="167">
        <f t="shared" si="2"/>
        <v>19822.850000000002</v>
      </c>
    </row>
    <row r="54" spans="1:18" x14ac:dyDescent="0.2">
      <c r="A54" s="165">
        <v>495</v>
      </c>
      <c r="B54" s="165">
        <v>4000</v>
      </c>
      <c r="C54" s="165">
        <v>6130</v>
      </c>
      <c r="D54" s="165">
        <v>310</v>
      </c>
      <c r="E54" s="166" t="s">
        <v>420</v>
      </c>
      <c r="F54" s="167">
        <v>0</v>
      </c>
      <c r="G54" s="167">
        <v>0</v>
      </c>
      <c r="H54" s="167">
        <v>0</v>
      </c>
      <c r="I54" s="167">
        <v>0</v>
      </c>
      <c r="J54" s="167">
        <v>0</v>
      </c>
      <c r="K54" s="167">
        <v>0</v>
      </c>
      <c r="L54" s="167">
        <v>0</v>
      </c>
      <c r="M54" s="167">
        <v>0</v>
      </c>
      <c r="N54" s="167">
        <v>612.83000000000004</v>
      </c>
      <c r="O54" s="167">
        <v>612.83000000000004</v>
      </c>
      <c r="P54" s="167">
        <v>612.83000000000004</v>
      </c>
      <c r="Q54" s="167">
        <v>7254.84</v>
      </c>
      <c r="R54" s="167">
        <f t="shared" si="2"/>
        <v>9093.33</v>
      </c>
    </row>
    <row r="55" spans="1:18" x14ac:dyDescent="0.2">
      <c r="A55" s="165">
        <v>100</v>
      </c>
      <c r="B55" s="165">
        <v>4000</v>
      </c>
      <c r="C55" s="165">
        <v>6400</v>
      </c>
      <c r="D55" s="165">
        <v>310</v>
      </c>
      <c r="E55" s="166" t="s">
        <v>305</v>
      </c>
      <c r="F55" s="167">
        <v>0</v>
      </c>
      <c r="G55" s="167">
        <v>0</v>
      </c>
      <c r="H55" s="167">
        <v>0</v>
      </c>
      <c r="I55" s="167">
        <v>0</v>
      </c>
      <c r="J55" s="167">
        <v>0</v>
      </c>
      <c r="K55" s="167">
        <v>0</v>
      </c>
      <c r="L55" s="167">
        <v>0</v>
      </c>
      <c r="M55" s="167">
        <v>0</v>
      </c>
      <c r="N55" s="167">
        <v>978</v>
      </c>
      <c r="O55" s="167">
        <v>0</v>
      </c>
      <c r="P55" s="167">
        <v>5520</v>
      </c>
      <c r="Q55" s="167">
        <v>0</v>
      </c>
      <c r="R55" s="167">
        <f t="shared" si="2"/>
        <v>6498</v>
      </c>
    </row>
    <row r="56" spans="1:18" x14ac:dyDescent="0.2">
      <c r="A56" s="165">
        <v>100</v>
      </c>
      <c r="B56" s="165">
        <v>4000</v>
      </c>
      <c r="C56" s="165">
        <v>7100</v>
      </c>
      <c r="D56" s="165">
        <v>310</v>
      </c>
      <c r="E56" s="166" t="s">
        <v>307</v>
      </c>
      <c r="F56" s="167">
        <v>0</v>
      </c>
      <c r="G56" s="167">
        <v>0</v>
      </c>
      <c r="H56" s="167">
        <v>7500</v>
      </c>
      <c r="I56" s="167">
        <v>0</v>
      </c>
      <c r="J56" s="167">
        <v>500</v>
      </c>
      <c r="K56" s="167">
        <v>0</v>
      </c>
      <c r="L56" s="167">
        <v>0</v>
      </c>
      <c r="M56" s="167">
        <v>0</v>
      </c>
      <c r="N56" s="167">
        <v>0</v>
      </c>
      <c r="O56" s="167">
        <v>0</v>
      </c>
      <c r="P56" s="167">
        <v>0</v>
      </c>
      <c r="Q56" s="167">
        <v>0</v>
      </c>
      <c r="R56" s="167">
        <f t="shared" si="2"/>
        <v>8000</v>
      </c>
    </row>
    <row r="57" spans="1:18" x14ac:dyDescent="0.2">
      <c r="A57" s="165">
        <v>100</v>
      </c>
      <c r="B57" s="165">
        <v>4000</v>
      </c>
      <c r="C57" s="165">
        <v>7100</v>
      </c>
      <c r="D57" s="165">
        <v>320</v>
      </c>
      <c r="E57" s="166" t="s">
        <v>308</v>
      </c>
      <c r="F57" s="167">
        <v>0</v>
      </c>
      <c r="G57" s="167">
        <v>3303.28</v>
      </c>
      <c r="H57" s="167">
        <v>0</v>
      </c>
      <c r="I57" s="167">
        <v>2093.31</v>
      </c>
      <c r="J57" s="167">
        <v>1046.67</v>
      </c>
      <c r="K57" s="167">
        <v>0</v>
      </c>
      <c r="L57" s="167">
        <v>0</v>
      </c>
      <c r="M57" s="167">
        <v>0</v>
      </c>
      <c r="N57" s="167">
        <v>1046.67</v>
      </c>
      <c r="O57" s="167">
        <v>1046.67</v>
      </c>
      <c r="P57" s="167">
        <v>-452.57</v>
      </c>
      <c r="Q57" s="167">
        <v>0</v>
      </c>
      <c r="R57" s="167">
        <f t="shared" si="2"/>
        <v>8084.0300000000007</v>
      </c>
    </row>
    <row r="58" spans="1:18" x14ac:dyDescent="0.2">
      <c r="A58" s="165">
        <v>100</v>
      </c>
      <c r="B58" s="165">
        <v>4000</v>
      </c>
      <c r="C58" s="165">
        <v>7100</v>
      </c>
      <c r="D58" s="165">
        <v>730</v>
      </c>
      <c r="E58" s="166" t="s">
        <v>309</v>
      </c>
      <c r="F58" s="167">
        <v>961.2</v>
      </c>
      <c r="G58" s="167">
        <v>1020.31</v>
      </c>
      <c r="H58" s="167">
        <v>2202.25</v>
      </c>
      <c r="I58" s="167">
        <v>2652.32</v>
      </c>
      <c r="J58" s="167">
        <v>1745.44</v>
      </c>
      <c r="K58" s="167">
        <v>1329.63</v>
      </c>
      <c r="L58" s="167">
        <v>1063.3499999999999</v>
      </c>
      <c r="M58" s="167">
        <v>2245.11</v>
      </c>
      <c r="N58" s="167">
        <v>3613.2</v>
      </c>
      <c r="O58" s="167">
        <v>2676.54</v>
      </c>
      <c r="P58" s="167">
        <v>1417.3</v>
      </c>
      <c r="Q58" s="167">
        <v>957.33</v>
      </c>
      <c r="R58" s="167">
        <f t="shared" si="2"/>
        <v>21883.980000000003</v>
      </c>
    </row>
    <row r="59" spans="1:18" x14ac:dyDescent="0.2">
      <c r="A59" s="165">
        <v>100</v>
      </c>
      <c r="B59" s="165">
        <v>4000</v>
      </c>
      <c r="C59" s="165">
        <v>7100</v>
      </c>
      <c r="D59" s="165">
        <v>790</v>
      </c>
      <c r="E59" s="166" t="s">
        <v>152</v>
      </c>
      <c r="F59" s="167">
        <v>1004.42</v>
      </c>
      <c r="G59" s="167">
        <v>1004.41</v>
      </c>
      <c r="H59" s="167">
        <v>1004.42</v>
      </c>
      <c r="I59" s="167">
        <v>1004.42</v>
      </c>
      <c r="J59" s="167">
        <v>1004.41</v>
      </c>
      <c r="K59" s="167">
        <v>1004.42</v>
      </c>
      <c r="L59" s="167">
        <v>827.08</v>
      </c>
      <c r="M59" s="167">
        <v>979.09</v>
      </c>
      <c r="N59" s="167">
        <v>979.08</v>
      </c>
      <c r="O59" s="167">
        <v>979.06</v>
      </c>
      <c r="P59" s="167">
        <v>1392.52</v>
      </c>
      <c r="Q59" s="167">
        <v>-2294.33</v>
      </c>
      <c r="R59" s="167">
        <f t="shared" si="2"/>
        <v>8889</v>
      </c>
    </row>
    <row r="60" spans="1:18" x14ac:dyDescent="0.2">
      <c r="A60" s="165">
        <v>100</v>
      </c>
      <c r="B60" s="165">
        <v>4000</v>
      </c>
      <c r="C60" s="165">
        <v>7100</v>
      </c>
      <c r="D60" s="165">
        <v>795</v>
      </c>
      <c r="E60" s="166" t="s">
        <v>310</v>
      </c>
      <c r="F60" s="167">
        <v>15</v>
      </c>
      <c r="G60" s="167">
        <v>15</v>
      </c>
      <c r="H60" s="167">
        <v>120</v>
      </c>
      <c r="I60" s="167">
        <v>15</v>
      </c>
      <c r="J60" s="167">
        <v>15</v>
      </c>
      <c r="K60" s="167">
        <v>22.5</v>
      </c>
      <c r="L60" s="167">
        <v>15</v>
      </c>
      <c r="M60" s="167">
        <v>15</v>
      </c>
      <c r="N60" s="167">
        <v>15</v>
      </c>
      <c r="O60" s="167">
        <v>15</v>
      </c>
      <c r="P60" s="167">
        <v>4</v>
      </c>
      <c r="Q60" s="167">
        <v>0</v>
      </c>
      <c r="R60" s="167">
        <f t="shared" si="2"/>
        <v>266.5</v>
      </c>
    </row>
    <row r="61" spans="1:18" x14ac:dyDescent="0.2">
      <c r="A61" s="165">
        <v>100</v>
      </c>
      <c r="B61" s="165">
        <v>4000</v>
      </c>
      <c r="C61" s="165">
        <v>7300</v>
      </c>
      <c r="D61" s="165">
        <v>320</v>
      </c>
      <c r="E61" s="166" t="s">
        <v>149</v>
      </c>
      <c r="F61" s="167">
        <v>0</v>
      </c>
      <c r="G61" s="167">
        <v>0</v>
      </c>
      <c r="H61" s="167">
        <v>0</v>
      </c>
      <c r="I61" s="167">
        <v>0</v>
      </c>
      <c r="J61" s="167">
        <v>0</v>
      </c>
      <c r="K61" s="167">
        <v>1046.67</v>
      </c>
      <c r="L61" s="167">
        <v>1046.67</v>
      </c>
      <c r="M61" s="167">
        <v>1046.67</v>
      </c>
      <c r="N61" s="167">
        <v>0</v>
      </c>
      <c r="O61" s="167">
        <v>0</v>
      </c>
      <c r="P61" s="167">
        <v>0</v>
      </c>
      <c r="Q61" s="167">
        <v>0</v>
      </c>
      <c r="R61" s="167">
        <f t="shared" si="2"/>
        <v>3140.01</v>
      </c>
    </row>
    <row r="62" spans="1:18" x14ac:dyDescent="0.2">
      <c r="A62" s="165">
        <v>100</v>
      </c>
      <c r="B62" s="165">
        <v>4000</v>
      </c>
      <c r="C62" s="165">
        <v>7300</v>
      </c>
      <c r="D62" s="165">
        <v>330</v>
      </c>
      <c r="E62" s="166" t="s">
        <v>311</v>
      </c>
      <c r="F62" s="167">
        <v>3300</v>
      </c>
      <c r="G62" s="167">
        <v>3810</v>
      </c>
      <c r="H62" s="167">
        <v>0</v>
      </c>
      <c r="I62" s="167">
        <v>0</v>
      </c>
      <c r="J62" s="167">
        <v>0</v>
      </c>
      <c r="K62" s="167">
        <v>0</v>
      </c>
      <c r="L62" s="167">
        <v>0</v>
      </c>
      <c r="M62" s="167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f t="shared" si="2"/>
        <v>7110</v>
      </c>
    </row>
    <row r="63" spans="1:18" x14ac:dyDescent="0.2">
      <c r="A63" s="165">
        <v>100</v>
      </c>
      <c r="B63" s="165">
        <v>4000</v>
      </c>
      <c r="C63" s="165">
        <v>7300</v>
      </c>
      <c r="D63" s="165">
        <v>370</v>
      </c>
      <c r="E63" s="166" t="s">
        <v>312</v>
      </c>
      <c r="F63" s="167">
        <v>66.55</v>
      </c>
      <c r="G63" s="167">
        <v>26.72</v>
      </c>
      <c r="H63" s="167">
        <v>199.91</v>
      </c>
      <c r="I63" s="167">
        <v>240.51</v>
      </c>
      <c r="J63" s="167">
        <v>168.57</v>
      </c>
      <c r="K63" s="167">
        <v>153.65</v>
      </c>
      <c r="L63" s="167">
        <v>67.989999999999995</v>
      </c>
      <c r="M63" s="167">
        <v>171.2</v>
      </c>
      <c r="N63" s="167">
        <v>6.58</v>
      </c>
      <c r="O63" s="167">
        <v>149.37</v>
      </c>
      <c r="P63" s="167">
        <v>98</v>
      </c>
      <c r="Q63" s="167">
        <v>408.06</v>
      </c>
      <c r="R63" s="167">
        <f t="shared" si="2"/>
        <v>1757.1099999999997</v>
      </c>
    </row>
    <row r="64" spans="1:18" x14ac:dyDescent="0.2">
      <c r="A64" s="165">
        <v>100</v>
      </c>
      <c r="B64" s="165">
        <v>4000</v>
      </c>
      <c r="C64" s="165">
        <v>7300</v>
      </c>
      <c r="D64" s="165">
        <v>390</v>
      </c>
      <c r="E64" s="166" t="s">
        <v>313</v>
      </c>
      <c r="F64" s="167">
        <v>104.55</v>
      </c>
      <c r="G64" s="167">
        <v>104.55</v>
      </c>
      <c r="H64" s="167">
        <v>-104.55</v>
      </c>
      <c r="I64" s="167">
        <v>147.6</v>
      </c>
      <c r="J64" s="167">
        <v>280.60000000000002</v>
      </c>
      <c r="K64" s="167">
        <v>517.1</v>
      </c>
      <c r="L64" s="167">
        <v>0</v>
      </c>
      <c r="M64" s="167">
        <v>128</v>
      </c>
      <c r="N64" s="167">
        <v>184.55</v>
      </c>
      <c r="O64" s="167">
        <v>2500</v>
      </c>
      <c r="P64" s="167">
        <v>1734.5</v>
      </c>
      <c r="Q64" s="167">
        <v>128</v>
      </c>
      <c r="R64" s="167">
        <f t="shared" si="2"/>
        <v>5724.9</v>
      </c>
    </row>
    <row r="65" spans="1:18" x14ac:dyDescent="0.2">
      <c r="A65" s="165">
        <v>100</v>
      </c>
      <c r="B65" s="165">
        <v>4000</v>
      </c>
      <c r="C65" s="165">
        <v>7300</v>
      </c>
      <c r="D65" s="165">
        <v>510</v>
      </c>
      <c r="E65" s="166" t="s">
        <v>314</v>
      </c>
      <c r="F65" s="167">
        <v>173.8</v>
      </c>
      <c r="G65" s="167">
        <v>653.02</v>
      </c>
      <c r="H65" s="167">
        <v>924.77</v>
      </c>
      <c r="I65" s="167">
        <v>403.79</v>
      </c>
      <c r="J65" s="167">
        <v>86.9</v>
      </c>
      <c r="K65" s="167">
        <v>633.9</v>
      </c>
      <c r="L65" s="167">
        <v>347.6</v>
      </c>
      <c r="M65" s="167">
        <v>450</v>
      </c>
      <c r="N65" s="167">
        <v>294.83</v>
      </c>
      <c r="O65" s="167">
        <v>260.7</v>
      </c>
      <c r="P65" s="167">
        <v>261.67</v>
      </c>
      <c r="Q65" s="167">
        <v>238.8</v>
      </c>
      <c r="R65" s="167">
        <f t="shared" si="2"/>
        <v>4729.7800000000007</v>
      </c>
    </row>
    <row r="66" spans="1:18" x14ac:dyDescent="0.2">
      <c r="A66" s="165">
        <v>100</v>
      </c>
      <c r="B66" s="165">
        <v>4000</v>
      </c>
      <c r="C66" s="165">
        <v>7400</v>
      </c>
      <c r="D66" s="165">
        <v>360</v>
      </c>
      <c r="E66" s="166" t="s">
        <v>315</v>
      </c>
      <c r="F66" s="167">
        <v>1750</v>
      </c>
      <c r="G66" s="167">
        <v>1750</v>
      </c>
      <c r="H66" s="167">
        <v>1750</v>
      </c>
      <c r="I66" s="167">
        <v>1750</v>
      </c>
      <c r="J66" s="167">
        <v>1750</v>
      </c>
      <c r="K66" s="167">
        <v>1750</v>
      </c>
      <c r="L66" s="167">
        <v>1750</v>
      </c>
      <c r="M66" s="167">
        <v>1750</v>
      </c>
      <c r="N66" s="167">
        <v>1750</v>
      </c>
      <c r="O66" s="167">
        <v>1750</v>
      </c>
      <c r="P66" s="167">
        <v>1750</v>
      </c>
      <c r="Q66" s="167">
        <v>1750</v>
      </c>
      <c r="R66" s="167">
        <f t="shared" si="2"/>
        <v>21000</v>
      </c>
    </row>
    <row r="67" spans="1:18" x14ac:dyDescent="0.2">
      <c r="A67" s="165">
        <v>100</v>
      </c>
      <c r="B67" s="165">
        <v>4000</v>
      </c>
      <c r="C67" s="165">
        <v>7500</v>
      </c>
      <c r="D67" s="165">
        <v>310</v>
      </c>
      <c r="E67" s="166" t="s">
        <v>316</v>
      </c>
      <c r="F67" s="167">
        <v>273.81</v>
      </c>
      <c r="G67" s="167">
        <v>747.93</v>
      </c>
      <c r="H67" s="167">
        <v>2252.4899999999998</v>
      </c>
      <c r="I67" s="167">
        <v>799.65</v>
      </c>
      <c r="J67" s="167">
        <v>1995.63</v>
      </c>
      <c r="K67" s="167">
        <v>6056.07</v>
      </c>
      <c r="L67" s="167">
        <v>1574.73</v>
      </c>
      <c r="M67" s="167">
        <v>1462.35</v>
      </c>
      <c r="N67" s="167">
        <v>2367.84</v>
      </c>
      <c r="O67" s="167">
        <v>147.69</v>
      </c>
      <c r="P67" s="167">
        <v>1940.94</v>
      </c>
      <c r="Q67" s="167">
        <v>2367.56</v>
      </c>
      <c r="R67" s="167">
        <f t="shared" si="2"/>
        <v>21986.69</v>
      </c>
    </row>
    <row r="68" spans="1:18" x14ac:dyDescent="0.2">
      <c r="A68" s="165">
        <v>100</v>
      </c>
      <c r="B68" s="165">
        <v>4000</v>
      </c>
      <c r="C68" s="165">
        <v>7500</v>
      </c>
      <c r="D68" s="165">
        <v>311</v>
      </c>
      <c r="E68" s="166" t="s">
        <v>317</v>
      </c>
      <c r="F68" s="167">
        <v>0</v>
      </c>
      <c r="G68" s="167">
        <v>0</v>
      </c>
      <c r="H68" s="167">
        <v>1017.86</v>
      </c>
      <c r="I68" s="167">
        <v>0</v>
      </c>
      <c r="J68" s="167">
        <v>0</v>
      </c>
      <c r="K68" s="167">
        <v>1244.5</v>
      </c>
      <c r="L68" s="167">
        <v>0</v>
      </c>
      <c r="M68" s="167">
        <v>0</v>
      </c>
      <c r="N68" s="167">
        <v>1213.1400000000001</v>
      </c>
      <c r="O68" s="167">
        <v>0</v>
      </c>
      <c r="P68" s="167">
        <v>0</v>
      </c>
      <c r="Q68" s="167">
        <v>1452.66</v>
      </c>
      <c r="R68" s="167">
        <f t="shared" si="2"/>
        <v>4928.16</v>
      </c>
    </row>
    <row r="69" spans="1:18" x14ac:dyDescent="0.2">
      <c r="A69" s="165">
        <v>100</v>
      </c>
      <c r="B69" s="165">
        <v>4000</v>
      </c>
      <c r="C69" s="165">
        <v>7800</v>
      </c>
      <c r="D69" s="165">
        <v>350</v>
      </c>
      <c r="E69" s="166" t="s">
        <v>318</v>
      </c>
      <c r="F69" s="167">
        <v>0</v>
      </c>
      <c r="G69" s="167">
        <v>2824.25</v>
      </c>
      <c r="H69" s="167">
        <v>1050</v>
      </c>
      <c r="I69" s="167">
        <v>8203</v>
      </c>
      <c r="J69" s="167">
        <v>0</v>
      </c>
      <c r="K69" s="167">
        <v>20021.5</v>
      </c>
      <c r="L69" s="167">
        <v>875</v>
      </c>
      <c r="M69" s="167">
        <v>5280</v>
      </c>
      <c r="N69" s="167">
        <v>3898</v>
      </c>
      <c r="O69" s="167">
        <v>3450</v>
      </c>
      <c r="P69" s="167">
        <v>-223.25</v>
      </c>
      <c r="Q69" s="167">
        <v>29159.64</v>
      </c>
      <c r="R69" s="167">
        <f t="shared" si="2"/>
        <v>74538.14</v>
      </c>
    </row>
    <row r="70" spans="1:18" x14ac:dyDescent="0.2">
      <c r="A70" s="165">
        <v>495</v>
      </c>
      <c r="B70" s="165">
        <v>4000</v>
      </c>
      <c r="C70" s="165">
        <v>7800</v>
      </c>
      <c r="D70" s="165">
        <v>350</v>
      </c>
      <c r="E70" s="166" t="s">
        <v>421</v>
      </c>
      <c r="F70" s="167">
        <v>0</v>
      </c>
      <c r="G70" s="167">
        <v>0</v>
      </c>
      <c r="H70" s="167">
        <v>0</v>
      </c>
      <c r="I70" s="167">
        <v>0</v>
      </c>
      <c r="J70" s="167">
        <v>0</v>
      </c>
      <c r="K70" s="167">
        <v>0</v>
      </c>
      <c r="L70" s="167">
        <v>0</v>
      </c>
      <c r="M70" s="167">
        <v>0</v>
      </c>
      <c r="N70" s="167">
        <v>350</v>
      </c>
      <c r="O70" s="167">
        <v>170</v>
      </c>
      <c r="P70" s="167">
        <v>22286.92</v>
      </c>
      <c r="Q70" s="167">
        <v>-7175.54</v>
      </c>
      <c r="R70" s="167">
        <f t="shared" si="2"/>
        <v>15631.379999999997</v>
      </c>
    </row>
    <row r="71" spans="1:18" x14ac:dyDescent="0.2">
      <c r="A71" s="165">
        <v>100</v>
      </c>
      <c r="B71" s="165">
        <v>4000</v>
      </c>
      <c r="C71" s="165">
        <v>7800</v>
      </c>
      <c r="D71" s="165">
        <v>550</v>
      </c>
      <c r="E71" s="166" t="s">
        <v>320</v>
      </c>
      <c r="F71" s="167">
        <v>0</v>
      </c>
      <c r="G71" s="167">
        <v>0</v>
      </c>
      <c r="H71" s="167">
        <v>0</v>
      </c>
      <c r="I71" s="167">
        <v>0</v>
      </c>
      <c r="J71" s="167">
        <v>836.83</v>
      </c>
      <c r="K71" s="167">
        <v>0</v>
      </c>
      <c r="L71" s="167">
        <v>0</v>
      </c>
      <c r="M71" s="167">
        <v>0</v>
      </c>
      <c r="N71" s="167">
        <v>0</v>
      </c>
      <c r="O71" s="167">
        <v>0</v>
      </c>
      <c r="P71" s="167">
        <v>731.54</v>
      </c>
      <c r="Q71" s="167">
        <v>235.38</v>
      </c>
      <c r="R71" s="167">
        <f t="shared" si="2"/>
        <v>1803.75</v>
      </c>
    </row>
    <row r="72" spans="1:18" x14ac:dyDescent="0.2">
      <c r="A72" s="165">
        <v>100</v>
      </c>
      <c r="B72" s="165">
        <v>4000</v>
      </c>
      <c r="C72" s="165">
        <v>7900</v>
      </c>
      <c r="D72" s="165">
        <v>320</v>
      </c>
      <c r="E72" s="166" t="s">
        <v>321</v>
      </c>
      <c r="F72" s="167">
        <v>0</v>
      </c>
      <c r="G72" s="167">
        <v>0</v>
      </c>
      <c r="H72" s="167">
        <v>0</v>
      </c>
      <c r="I72" s="167">
        <v>0</v>
      </c>
      <c r="J72" s="167">
        <v>1540.77</v>
      </c>
      <c r="K72" s="167">
        <v>1499.24</v>
      </c>
      <c r="L72" s="167">
        <v>0</v>
      </c>
      <c r="M72" s="167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f t="shared" si="2"/>
        <v>3040.01</v>
      </c>
    </row>
    <row r="73" spans="1:18" x14ac:dyDescent="0.2">
      <c r="A73" s="165">
        <v>100</v>
      </c>
      <c r="B73" s="165">
        <v>4000</v>
      </c>
      <c r="C73" s="165">
        <v>7900</v>
      </c>
      <c r="D73" s="165">
        <v>360</v>
      </c>
      <c r="E73" s="166" t="s">
        <v>322</v>
      </c>
      <c r="F73" s="167">
        <v>0</v>
      </c>
      <c r="G73" s="167">
        <v>0</v>
      </c>
      <c r="H73" s="167">
        <v>360</v>
      </c>
      <c r="I73" s="167">
        <v>120</v>
      </c>
      <c r="J73" s="167">
        <v>0</v>
      </c>
      <c r="K73" s="167">
        <v>0</v>
      </c>
      <c r="L73" s="167">
        <v>0</v>
      </c>
      <c r="M73" s="167">
        <v>360</v>
      </c>
      <c r="N73" s="167">
        <v>0</v>
      </c>
      <c r="O73" s="167">
        <v>250</v>
      </c>
      <c r="P73" s="167">
        <v>0</v>
      </c>
      <c r="Q73" s="167">
        <v>0</v>
      </c>
      <c r="R73" s="167">
        <f t="shared" si="2"/>
        <v>1090</v>
      </c>
    </row>
    <row r="74" spans="1:18" x14ac:dyDescent="0.2">
      <c r="A74" s="165">
        <v>100</v>
      </c>
      <c r="B74" s="165">
        <v>4000</v>
      </c>
      <c r="C74" s="165">
        <v>7900</v>
      </c>
      <c r="D74" s="165">
        <v>370</v>
      </c>
      <c r="E74" s="166" t="s">
        <v>323</v>
      </c>
      <c r="F74" s="167">
        <v>0</v>
      </c>
      <c r="G74" s="167">
        <v>1389.95</v>
      </c>
      <c r="H74" s="167">
        <v>606.6</v>
      </c>
      <c r="I74" s="167">
        <v>602.59</v>
      </c>
      <c r="J74" s="167">
        <v>394.52</v>
      </c>
      <c r="K74" s="167">
        <v>453.09</v>
      </c>
      <c r="L74" s="167">
        <v>267.52999999999997</v>
      </c>
      <c r="M74" s="167">
        <v>265.32</v>
      </c>
      <c r="N74" s="167">
        <v>488.87</v>
      </c>
      <c r="O74" s="167">
        <v>481.99</v>
      </c>
      <c r="P74" s="167">
        <v>352.72</v>
      </c>
      <c r="Q74" s="167">
        <v>705.44</v>
      </c>
      <c r="R74" s="167">
        <f t="shared" si="2"/>
        <v>6008.6200000000008</v>
      </c>
    </row>
    <row r="75" spans="1:18" x14ac:dyDescent="0.2">
      <c r="A75" s="165">
        <v>100</v>
      </c>
      <c r="B75" s="165">
        <v>4000</v>
      </c>
      <c r="C75" s="165">
        <v>7900</v>
      </c>
      <c r="D75" s="165">
        <v>380</v>
      </c>
      <c r="E75" s="166" t="s">
        <v>324</v>
      </c>
      <c r="F75" s="167">
        <v>0</v>
      </c>
      <c r="G75" s="167">
        <v>838.75</v>
      </c>
      <c r="H75" s="167">
        <v>306.77</v>
      </c>
      <c r="I75" s="167">
        <v>0</v>
      </c>
      <c r="J75" s="167">
        <v>297.60000000000002</v>
      </c>
      <c r="K75" s="167">
        <v>331.64</v>
      </c>
      <c r="L75" s="167">
        <v>140.91</v>
      </c>
      <c r="M75" s="167">
        <v>0</v>
      </c>
      <c r="N75" s="167">
        <v>147.66</v>
      </c>
      <c r="O75" s="167">
        <v>344.72</v>
      </c>
      <c r="P75" s="167">
        <v>206</v>
      </c>
      <c r="Q75" s="167">
        <v>184.96</v>
      </c>
      <c r="R75" s="167">
        <f t="shared" si="2"/>
        <v>2799.01</v>
      </c>
    </row>
    <row r="76" spans="1:18" x14ac:dyDescent="0.2">
      <c r="A76" s="165">
        <v>100</v>
      </c>
      <c r="B76" s="165">
        <v>4000</v>
      </c>
      <c r="C76" s="165">
        <v>7900</v>
      </c>
      <c r="D76" s="165">
        <v>390</v>
      </c>
      <c r="E76" s="166" t="s">
        <v>325</v>
      </c>
      <c r="F76" s="167">
        <v>714.36</v>
      </c>
      <c r="G76" s="167">
        <v>0</v>
      </c>
      <c r="H76" s="167">
        <v>0</v>
      </c>
      <c r="I76" s="167">
        <v>0</v>
      </c>
      <c r="J76" s="167">
        <v>0</v>
      </c>
      <c r="K76" s="167">
        <v>0</v>
      </c>
      <c r="L76" s="167">
        <v>0</v>
      </c>
      <c r="M76" s="167">
        <v>0</v>
      </c>
      <c r="N76" s="167">
        <v>0</v>
      </c>
      <c r="O76" s="167">
        <v>0</v>
      </c>
      <c r="P76" s="167">
        <v>0</v>
      </c>
      <c r="Q76" s="167">
        <v>254.77</v>
      </c>
      <c r="R76" s="167">
        <f t="shared" si="2"/>
        <v>969.13</v>
      </c>
    </row>
    <row r="77" spans="1:18" x14ac:dyDescent="0.2">
      <c r="A77" s="165">
        <v>100</v>
      </c>
      <c r="B77" s="165">
        <v>4000</v>
      </c>
      <c r="C77" s="165">
        <v>7900</v>
      </c>
      <c r="D77" s="165">
        <v>430</v>
      </c>
      <c r="E77" s="166" t="s">
        <v>326</v>
      </c>
      <c r="F77" s="167">
        <v>53.51</v>
      </c>
      <c r="G77" s="167">
        <v>567.94000000000005</v>
      </c>
      <c r="H77" s="167">
        <v>601.63</v>
      </c>
      <c r="I77" s="167">
        <v>671.96</v>
      </c>
      <c r="J77" s="167">
        <v>393.52</v>
      </c>
      <c r="K77" s="167">
        <v>542.91999999999996</v>
      </c>
      <c r="L77" s="167">
        <v>561.05999999999995</v>
      </c>
      <c r="M77" s="167">
        <v>690.58</v>
      </c>
      <c r="N77" s="167">
        <v>795.66</v>
      </c>
      <c r="O77" s="167">
        <v>503.35</v>
      </c>
      <c r="P77" s="167">
        <v>395.85</v>
      </c>
      <c r="Q77" s="167">
        <v>509.44</v>
      </c>
      <c r="R77" s="167">
        <f t="shared" si="2"/>
        <v>6287.42</v>
      </c>
    </row>
    <row r="78" spans="1:18" x14ac:dyDescent="0.2">
      <c r="A78" s="165">
        <v>100</v>
      </c>
      <c r="B78" s="165">
        <v>4000</v>
      </c>
      <c r="C78" s="165">
        <v>7900</v>
      </c>
      <c r="D78" s="165">
        <v>510</v>
      </c>
      <c r="E78" s="166" t="s">
        <v>327</v>
      </c>
      <c r="F78" s="167">
        <v>0</v>
      </c>
      <c r="G78" s="167">
        <v>98.78</v>
      </c>
      <c r="H78" s="167">
        <v>620.79</v>
      </c>
      <c r="I78" s="167">
        <v>132.32</v>
      </c>
      <c r="J78" s="167">
        <v>246.68</v>
      </c>
      <c r="K78" s="167">
        <v>35.64</v>
      </c>
      <c r="L78" s="167">
        <v>109.5</v>
      </c>
      <c r="M78" s="167">
        <v>142.91999999999999</v>
      </c>
      <c r="N78" s="167">
        <v>865.32</v>
      </c>
      <c r="O78" s="167">
        <v>83.34</v>
      </c>
      <c r="P78" s="167">
        <v>279.92</v>
      </c>
      <c r="Q78" s="167">
        <v>137.88999999999999</v>
      </c>
      <c r="R78" s="167">
        <f t="shared" si="2"/>
        <v>2753.1000000000004</v>
      </c>
    </row>
    <row r="79" spans="1:18" x14ac:dyDescent="0.2">
      <c r="A79" s="165">
        <v>100</v>
      </c>
      <c r="B79" s="165">
        <v>4000</v>
      </c>
      <c r="C79" s="165">
        <v>8100</v>
      </c>
      <c r="D79" s="165">
        <v>350</v>
      </c>
      <c r="E79" s="166" t="s">
        <v>328</v>
      </c>
      <c r="F79" s="167">
        <v>1233.29</v>
      </c>
      <c r="G79" s="167">
        <v>6276.97</v>
      </c>
      <c r="H79" s="167">
        <v>1090.5999999999999</v>
      </c>
      <c r="I79" s="167">
        <v>60</v>
      </c>
      <c r="J79" s="167">
        <v>0</v>
      </c>
      <c r="K79" s="167">
        <v>0</v>
      </c>
      <c r="L79" s="167">
        <v>0</v>
      </c>
      <c r="M79" s="167">
        <v>6.39</v>
      </c>
      <c r="N79" s="167">
        <v>0</v>
      </c>
      <c r="O79" s="167">
        <v>0</v>
      </c>
      <c r="P79" s="167">
        <v>892.97</v>
      </c>
      <c r="Q79" s="167">
        <v>0</v>
      </c>
      <c r="R79" s="167">
        <f t="shared" si="2"/>
        <v>9560.2199999999993</v>
      </c>
    </row>
    <row r="80" spans="1:18" x14ac:dyDescent="0.2">
      <c r="A80" s="165">
        <v>100</v>
      </c>
      <c r="B80" s="165">
        <v>4000</v>
      </c>
      <c r="C80" s="165">
        <v>9100</v>
      </c>
      <c r="D80" s="165">
        <v>705</v>
      </c>
      <c r="E80" s="166" t="s">
        <v>297</v>
      </c>
      <c r="F80" s="167">
        <v>2418.98</v>
      </c>
      <c r="G80" s="167">
        <v>375</v>
      </c>
      <c r="H80" s="167">
        <v>0</v>
      </c>
      <c r="I80" s="167">
        <v>300</v>
      </c>
      <c r="J80" s="167">
        <v>0</v>
      </c>
      <c r="K80" s="167">
        <v>0</v>
      </c>
      <c r="L80" s="167">
        <v>600</v>
      </c>
      <c r="M80" s="167">
        <v>0</v>
      </c>
      <c r="N80" s="167">
        <v>700</v>
      </c>
      <c r="O80" s="167">
        <v>0</v>
      </c>
      <c r="P80" s="167">
        <v>0</v>
      </c>
      <c r="Q80" s="167">
        <v>0</v>
      </c>
      <c r="R80" s="167">
        <f t="shared" si="2"/>
        <v>4393.9799999999996</v>
      </c>
    </row>
  </sheetData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"/>
  <sheetViews>
    <sheetView workbookViewId="0">
      <selection activeCell="L6" sqref="L6"/>
    </sheetView>
  </sheetViews>
  <sheetFormatPr defaultRowHeight="14.4" x14ac:dyDescent="0.3"/>
  <cols>
    <col min="1" max="1" width="6" style="181" bestFit="1" customWidth="1"/>
    <col min="2" max="2" width="13.21875" style="181" bestFit="1" customWidth="1"/>
    <col min="3" max="3" width="12.33203125" style="181" bestFit="1" customWidth="1"/>
    <col min="4" max="4" width="9" style="181" bestFit="1" customWidth="1"/>
    <col min="5" max="5" width="8" style="181" bestFit="1" customWidth="1"/>
    <col min="6" max="6" width="6" style="181" bestFit="1" customWidth="1"/>
    <col min="7" max="7" width="8" style="181" bestFit="1" customWidth="1"/>
    <col min="8" max="8" width="6" style="181" bestFit="1" customWidth="1"/>
    <col min="9" max="9" width="8" style="181" bestFit="1" customWidth="1"/>
    <col min="10" max="10" width="9" style="181" bestFit="1" customWidth="1"/>
    <col min="11" max="11" width="8.88671875" style="181"/>
    <col min="12" max="12" width="7.21875" style="181" bestFit="1" customWidth="1"/>
    <col min="13" max="13" width="9.109375" style="181" bestFit="1" customWidth="1"/>
    <col min="14" max="16384" width="8.88671875" style="181"/>
  </cols>
  <sheetData>
    <row r="2" spans="1:13" x14ac:dyDescent="0.3">
      <c r="E2" s="181">
        <v>7.16</v>
      </c>
      <c r="G2" s="184">
        <v>7.31</v>
      </c>
      <c r="I2" s="184">
        <v>8.14</v>
      </c>
    </row>
    <row r="3" spans="1:13" x14ac:dyDescent="0.3">
      <c r="A3" s="181" t="s">
        <v>486</v>
      </c>
      <c r="B3" s="181" t="s">
        <v>485</v>
      </c>
      <c r="C3" s="181" t="s">
        <v>484</v>
      </c>
      <c r="D3" s="181" t="s">
        <v>483</v>
      </c>
      <c r="E3" s="183" t="s">
        <v>384</v>
      </c>
      <c r="F3" s="183" t="s">
        <v>482</v>
      </c>
      <c r="G3" s="183" t="s">
        <v>384</v>
      </c>
      <c r="H3" s="183" t="s">
        <v>482</v>
      </c>
      <c r="I3" s="183" t="s">
        <v>384</v>
      </c>
      <c r="J3" s="183" t="s">
        <v>482</v>
      </c>
      <c r="L3" s="183" t="s">
        <v>481</v>
      </c>
      <c r="M3" s="183" t="s">
        <v>480</v>
      </c>
    </row>
    <row r="4" spans="1:13" x14ac:dyDescent="0.3">
      <c r="A4" s="181">
        <v>52120</v>
      </c>
      <c r="B4" s="181" t="s">
        <v>358</v>
      </c>
      <c r="C4" s="181" t="s">
        <v>479</v>
      </c>
      <c r="D4" s="181" t="s">
        <v>478</v>
      </c>
      <c r="E4" s="181">
        <v>406.62</v>
      </c>
      <c r="F4" s="181">
        <v>22.78</v>
      </c>
      <c r="G4" s="181">
        <v>758.98</v>
      </c>
      <c r="H4" s="181">
        <v>42.52</v>
      </c>
      <c r="I4" s="181">
        <v>1896.97</v>
      </c>
      <c r="J4" s="181">
        <v>111.2867</v>
      </c>
      <c r="L4" s="182">
        <f>+AVERAGE(E4,G4,I4)</f>
        <v>1020.8566666666666</v>
      </c>
      <c r="M4" s="182">
        <f>+AVERAGE(F4,H4,J4)</f>
        <v>58.862233333333336</v>
      </c>
    </row>
    <row r="5" spans="1:13" x14ac:dyDescent="0.3">
      <c r="A5" s="181">
        <v>52120</v>
      </c>
      <c r="B5" s="181" t="s">
        <v>358</v>
      </c>
      <c r="C5" s="181" t="s">
        <v>477</v>
      </c>
      <c r="D5" s="181" t="s">
        <v>476</v>
      </c>
      <c r="E5" s="181">
        <v>1131.6199999999999</v>
      </c>
      <c r="F5" s="181">
        <v>41.85</v>
      </c>
      <c r="G5" s="181">
        <v>1364.17</v>
      </c>
      <c r="H5" s="181">
        <v>50.45</v>
      </c>
      <c r="I5" s="181">
        <v>3451.36</v>
      </c>
      <c r="J5" s="181">
        <v>132.63669999999999</v>
      </c>
      <c r="L5" s="182">
        <f>+AVERAGE(E5,G5,I5)</f>
        <v>1982.3833333333332</v>
      </c>
      <c r="M5" s="182">
        <f>+AVERAGE(F5,H5,J5)</f>
        <v>74.978899999999996</v>
      </c>
    </row>
    <row r="6" spans="1:13" x14ac:dyDescent="0.3">
      <c r="A6" s="181">
        <v>52121</v>
      </c>
      <c r="B6" s="181" t="s">
        <v>475</v>
      </c>
      <c r="C6" s="181" t="s">
        <v>474</v>
      </c>
      <c r="D6" s="181" t="s">
        <v>473</v>
      </c>
      <c r="E6" s="181">
        <v>0</v>
      </c>
      <c r="F6" s="181">
        <v>0</v>
      </c>
      <c r="G6" s="181">
        <v>100.44</v>
      </c>
      <c r="H6" s="181">
        <v>12</v>
      </c>
      <c r="I6" s="181">
        <v>33.479999999999997</v>
      </c>
      <c r="J6" s="181">
        <v>4</v>
      </c>
      <c r="L6" s="182">
        <f>+AVERAGE(G6,I6)</f>
        <v>66.959999999999994</v>
      </c>
      <c r="M6" s="182">
        <f>+AVERAGE(H6,J6)</f>
        <v>8</v>
      </c>
    </row>
    <row r="7" spans="1:13" x14ac:dyDescent="0.3">
      <c r="A7" s="181">
        <v>52150</v>
      </c>
      <c r="B7" s="181" t="s">
        <v>462</v>
      </c>
      <c r="C7" s="181" t="s">
        <v>472</v>
      </c>
      <c r="D7" s="181" t="s">
        <v>471</v>
      </c>
      <c r="E7" s="181">
        <v>760</v>
      </c>
      <c r="F7" s="181">
        <v>76</v>
      </c>
      <c r="G7" s="181">
        <v>640</v>
      </c>
      <c r="H7" s="181">
        <v>64</v>
      </c>
      <c r="I7" s="181">
        <v>590</v>
      </c>
      <c r="J7" s="181">
        <v>59</v>
      </c>
      <c r="L7" s="182">
        <f>+AVERAGE(E7,G7,I7)</f>
        <v>663.33333333333337</v>
      </c>
      <c r="M7" s="182">
        <f>+AVERAGE(F7,H7,J7)</f>
        <v>66.333333333333329</v>
      </c>
    </row>
    <row r="8" spans="1:13" x14ac:dyDescent="0.3">
      <c r="A8" s="181">
        <v>52150</v>
      </c>
      <c r="B8" s="181" t="s">
        <v>462</v>
      </c>
      <c r="C8" s="181" t="s">
        <v>470</v>
      </c>
      <c r="D8" s="181" t="s">
        <v>469</v>
      </c>
      <c r="E8" s="181">
        <v>1066</v>
      </c>
      <c r="F8" s="181">
        <v>80.03</v>
      </c>
      <c r="G8" s="181">
        <v>588.34</v>
      </c>
      <c r="H8" s="181">
        <v>44.17</v>
      </c>
      <c r="I8" s="181">
        <v>1006.73</v>
      </c>
      <c r="J8" s="181">
        <v>75.58</v>
      </c>
      <c r="L8" s="182">
        <f>+AVERAGE(E8,G8,I8)</f>
        <v>887.02333333333343</v>
      </c>
      <c r="M8" s="182">
        <f>+AVERAGE(F8,H8,J8)</f>
        <v>66.593333333333334</v>
      </c>
    </row>
    <row r="9" spans="1:13" x14ac:dyDescent="0.3">
      <c r="A9" s="181">
        <v>52150</v>
      </c>
      <c r="B9" s="181" t="s">
        <v>462</v>
      </c>
      <c r="C9" s="181" t="s">
        <v>468</v>
      </c>
      <c r="D9" s="181" t="s">
        <v>467</v>
      </c>
      <c r="E9" s="181">
        <v>1145.21</v>
      </c>
      <c r="F9" s="181">
        <v>89.75</v>
      </c>
      <c r="G9" s="181">
        <v>510.4</v>
      </c>
      <c r="H9" s="181">
        <v>40</v>
      </c>
      <c r="I9" s="181">
        <v>1020.8</v>
      </c>
      <c r="J9" s="181">
        <v>80</v>
      </c>
      <c r="L9" s="182">
        <f>+AVERAGE(E9,G9,I9)</f>
        <v>892.13666666666666</v>
      </c>
      <c r="M9" s="182">
        <f>+AVERAGE(F9,H9,J9)</f>
        <v>69.916666666666671</v>
      </c>
    </row>
    <row r="10" spans="1:13" x14ac:dyDescent="0.3">
      <c r="A10" s="181">
        <v>52150</v>
      </c>
      <c r="B10" s="181" t="s">
        <v>462</v>
      </c>
      <c r="C10" s="181" t="s">
        <v>466</v>
      </c>
      <c r="D10" s="181" t="s">
        <v>465</v>
      </c>
      <c r="E10" s="181">
        <v>145.6</v>
      </c>
      <c r="F10" s="181">
        <v>13</v>
      </c>
      <c r="G10" s="181">
        <v>260.74</v>
      </c>
      <c r="H10" s="181">
        <v>23.28</v>
      </c>
      <c r="I10" s="181">
        <v>73.36</v>
      </c>
      <c r="J10" s="181">
        <v>6.55</v>
      </c>
      <c r="L10" s="182">
        <f>+AVERAGE(E10,G10,I10)</f>
        <v>159.9</v>
      </c>
      <c r="M10" s="182">
        <f>+AVERAGE(F10,H10,J10)</f>
        <v>14.276666666666666</v>
      </c>
    </row>
    <row r="11" spans="1:13" x14ac:dyDescent="0.3">
      <c r="A11" s="181">
        <v>52150</v>
      </c>
      <c r="B11" s="181" t="s">
        <v>462</v>
      </c>
      <c r="C11" s="181" t="s">
        <v>464</v>
      </c>
      <c r="D11" s="181" t="s">
        <v>463</v>
      </c>
      <c r="E11" s="181">
        <v>0</v>
      </c>
      <c r="F11" s="181">
        <v>0</v>
      </c>
      <c r="G11" s="181">
        <v>217.5</v>
      </c>
      <c r="H11" s="181">
        <v>19.420000000000002</v>
      </c>
      <c r="I11" s="181">
        <v>113.9</v>
      </c>
      <c r="J11" s="181">
        <v>10.17</v>
      </c>
      <c r="L11" s="182">
        <f>+AVERAGE(G11,I11)</f>
        <v>165.7</v>
      </c>
      <c r="M11" s="182">
        <f>+AVERAGE(H11,J11)</f>
        <v>14.795000000000002</v>
      </c>
    </row>
    <row r="12" spans="1:13" x14ac:dyDescent="0.3">
      <c r="A12" s="181">
        <v>52150</v>
      </c>
      <c r="B12" s="181" t="s">
        <v>462</v>
      </c>
      <c r="C12" s="181" t="s">
        <v>461</v>
      </c>
      <c r="D12" s="181" t="s">
        <v>460</v>
      </c>
      <c r="E12" s="181">
        <v>360.66</v>
      </c>
      <c r="F12" s="181">
        <v>29.98</v>
      </c>
      <c r="G12" s="181">
        <v>400.84</v>
      </c>
      <c r="H12" s="181">
        <v>33.32</v>
      </c>
      <c r="I12" s="181">
        <v>437.05</v>
      </c>
      <c r="J12" s="181">
        <v>36.33</v>
      </c>
      <c r="L12" s="182">
        <f>+AVERAGE(E12,G12,I12)</f>
        <v>399.51666666666665</v>
      </c>
      <c r="M12" s="182">
        <f>+AVERAGE(F12,H12,J12)</f>
        <v>33.21</v>
      </c>
    </row>
    <row r="13" spans="1:13" x14ac:dyDescent="0.3">
      <c r="A13" s="181">
        <v>52750</v>
      </c>
      <c r="B13" s="181" t="s">
        <v>459</v>
      </c>
      <c r="C13" s="181" t="s">
        <v>458</v>
      </c>
      <c r="D13" s="181" t="s">
        <v>457</v>
      </c>
      <c r="E13" s="181">
        <v>0</v>
      </c>
      <c r="F13" s="181">
        <v>0</v>
      </c>
      <c r="G13" s="181">
        <v>96.6</v>
      </c>
      <c r="H13" s="181">
        <v>12</v>
      </c>
      <c r="I13" s="181">
        <v>32.200000000000003</v>
      </c>
      <c r="J13" s="181">
        <v>4</v>
      </c>
      <c r="L13" s="182">
        <f>+AVERAGE(G13,I13)</f>
        <v>64.400000000000006</v>
      </c>
      <c r="M13" s="182">
        <f>+AVERAGE(H13,J13)</f>
        <v>8</v>
      </c>
    </row>
    <row r="14" spans="1:13" x14ac:dyDescent="0.3">
      <c r="A14" s="181">
        <v>61150</v>
      </c>
      <c r="B14" s="181" t="s">
        <v>365</v>
      </c>
      <c r="C14" s="181" t="s">
        <v>456</v>
      </c>
      <c r="D14" s="181" t="s">
        <v>455</v>
      </c>
      <c r="E14" s="181">
        <v>665.8</v>
      </c>
      <c r="F14" s="181">
        <v>66.58</v>
      </c>
      <c r="G14" s="181">
        <v>603.29999999999995</v>
      </c>
      <c r="H14" s="181">
        <v>60.33</v>
      </c>
      <c r="I14" s="181">
        <v>730.8</v>
      </c>
      <c r="J14" s="181">
        <v>73.08</v>
      </c>
      <c r="L14" s="182">
        <f>+AVERAGE(E14,G14,I14)</f>
        <v>666.63333333333333</v>
      </c>
      <c r="M14" s="182">
        <f>+AVERAGE(F14,H14,J14)</f>
        <v>66.663333333333341</v>
      </c>
    </row>
    <row r="15" spans="1:13" x14ac:dyDescent="0.3">
      <c r="A15" s="181">
        <v>61150</v>
      </c>
      <c r="B15" s="181" t="s">
        <v>365</v>
      </c>
      <c r="C15" s="181" t="s">
        <v>454</v>
      </c>
      <c r="D15" s="181" t="s">
        <v>453</v>
      </c>
      <c r="E15" s="181">
        <v>305</v>
      </c>
      <c r="F15" s="181">
        <v>30.5</v>
      </c>
      <c r="G15" s="181">
        <v>408.3</v>
      </c>
      <c r="H15" s="181">
        <v>40.83</v>
      </c>
      <c r="I15" s="181">
        <v>753.3</v>
      </c>
      <c r="J15" s="181">
        <v>75.33</v>
      </c>
      <c r="L15" s="182">
        <f>+AVERAGE(E15,G15,I15)</f>
        <v>488.86666666666662</v>
      </c>
      <c r="M15" s="182">
        <f>+AVERAGE(F15,H15,J15)</f>
        <v>48.886666666666663</v>
      </c>
    </row>
    <row r="16" spans="1:13" x14ac:dyDescent="0.3">
      <c r="A16" s="181">
        <v>61150</v>
      </c>
      <c r="B16" s="181" t="s">
        <v>365</v>
      </c>
      <c r="C16" s="181" t="s">
        <v>452</v>
      </c>
      <c r="D16" s="181" t="s">
        <v>451</v>
      </c>
      <c r="E16" s="181">
        <v>411.72</v>
      </c>
      <c r="F16" s="181">
        <v>36.5</v>
      </c>
      <c r="G16" s="181">
        <v>902.4</v>
      </c>
      <c r="H16" s="181">
        <v>80</v>
      </c>
      <c r="I16" s="181">
        <v>875.1</v>
      </c>
      <c r="J16" s="181">
        <v>77.58</v>
      </c>
      <c r="L16" s="182">
        <f>+AVERAGE(E16,G16,I16)</f>
        <v>729.7399999999999</v>
      </c>
      <c r="M16" s="182">
        <f>+AVERAGE(F16,H16,J16)</f>
        <v>64.693333333333328</v>
      </c>
    </row>
    <row r="17" spans="1:13" x14ac:dyDescent="0.3">
      <c r="A17" s="181">
        <v>61150</v>
      </c>
      <c r="B17" s="181" t="s">
        <v>365</v>
      </c>
      <c r="C17" s="181" t="s">
        <v>450</v>
      </c>
      <c r="D17" s="181" t="s">
        <v>449</v>
      </c>
      <c r="E17" s="181">
        <v>130</v>
      </c>
      <c r="F17" s="181">
        <v>13</v>
      </c>
      <c r="G17" s="181">
        <v>242.7</v>
      </c>
      <c r="H17" s="181">
        <v>24.27</v>
      </c>
      <c r="I17" s="181">
        <v>600.79999999999995</v>
      </c>
      <c r="J17" s="181">
        <v>60.08</v>
      </c>
      <c r="L17" s="182">
        <f>+AVERAGE(E17,G17,I17)</f>
        <v>324.5</v>
      </c>
      <c r="M17" s="182">
        <f>+AVERAGE(F17,H17,J17)</f>
        <v>32.449999999999996</v>
      </c>
    </row>
    <row r="18" spans="1:13" x14ac:dyDescent="0.3">
      <c r="A18" s="181">
        <v>73160</v>
      </c>
      <c r="B18" s="181" t="s">
        <v>448</v>
      </c>
      <c r="C18" s="181" t="s">
        <v>447</v>
      </c>
      <c r="D18" s="181" t="s">
        <v>446</v>
      </c>
      <c r="E18" s="181">
        <v>489.83</v>
      </c>
      <c r="F18" s="181">
        <v>30.33</v>
      </c>
      <c r="G18" s="181">
        <v>323</v>
      </c>
      <c r="H18" s="181">
        <v>20</v>
      </c>
      <c r="I18" s="181">
        <v>323</v>
      </c>
      <c r="J18" s="181">
        <v>20</v>
      </c>
      <c r="L18" s="182">
        <f>+AVERAGE(E18,G18,I18)</f>
        <v>378.60999999999996</v>
      </c>
      <c r="M18" s="182">
        <f>+AVERAGE(F18,H18,J18)</f>
        <v>23.443333333333332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4"/>
  <sheetViews>
    <sheetView topLeftCell="A13" workbookViewId="0">
      <selection activeCell="AC26" sqref="AC26"/>
    </sheetView>
  </sheetViews>
  <sheetFormatPr defaultColWidth="8.88671875" defaultRowHeight="14.4" x14ac:dyDescent="0.3"/>
  <cols>
    <col min="1" max="1" width="4" style="133" bestFit="1" customWidth="1"/>
    <col min="2" max="2" width="5.6640625" style="133" bestFit="1" customWidth="1"/>
    <col min="3" max="3" width="5" style="133" bestFit="1" customWidth="1"/>
    <col min="4" max="4" width="4" style="133" bestFit="1" customWidth="1"/>
    <col min="5" max="5" width="35.6640625" style="133" bestFit="1" customWidth="1"/>
    <col min="6" max="6" width="4" style="133" bestFit="1" customWidth="1"/>
    <col min="7" max="8" width="5" style="133" bestFit="1" customWidth="1"/>
    <col min="9" max="9" width="4" style="133" bestFit="1" customWidth="1"/>
    <col min="10" max="10" width="24.33203125" style="133" customWidth="1"/>
    <col min="11" max="11" width="8.5546875" style="133" hidden="1" customWidth="1"/>
    <col min="12" max="18" width="7.5546875" style="133" hidden="1" customWidth="1"/>
    <col min="19" max="19" width="8.109375" style="133" hidden="1" customWidth="1"/>
    <col min="20" max="23" width="7.5546875" style="133" hidden="1" customWidth="1"/>
    <col min="24" max="24" width="8.5546875" style="133" bestFit="1" customWidth="1"/>
    <col min="25" max="16384" width="8.88671875" style="133"/>
  </cols>
  <sheetData>
    <row r="1" spans="1:24" x14ac:dyDescent="0.3">
      <c r="A1" s="132"/>
      <c r="B1" s="132"/>
      <c r="C1" s="132"/>
      <c r="D1" s="132"/>
    </row>
    <row r="2" spans="1:24" x14ac:dyDescent="0.3">
      <c r="A2" s="132"/>
      <c r="B2" s="132"/>
      <c r="C2" s="132"/>
      <c r="D2" s="132"/>
    </row>
    <row r="3" spans="1:24" x14ac:dyDescent="0.3">
      <c r="A3" s="132"/>
      <c r="B3" s="132"/>
      <c r="C3" s="132"/>
      <c r="D3" s="132"/>
      <c r="K3" s="134" t="s">
        <v>242</v>
      </c>
      <c r="L3" s="134" t="s">
        <v>344</v>
      </c>
      <c r="M3" s="134" t="s">
        <v>344</v>
      </c>
      <c r="N3" s="134" t="s">
        <v>344</v>
      </c>
      <c r="O3" s="134" t="s">
        <v>344</v>
      </c>
      <c r="P3" s="134" t="s">
        <v>344</v>
      </c>
      <c r="Q3" s="134" t="s">
        <v>344</v>
      </c>
      <c r="R3" s="134" t="s">
        <v>344</v>
      </c>
      <c r="S3" s="134" t="s">
        <v>344</v>
      </c>
      <c r="T3" s="134" t="s">
        <v>344</v>
      </c>
      <c r="U3" s="134" t="s">
        <v>344</v>
      </c>
      <c r="V3" s="134" t="s">
        <v>344</v>
      </c>
      <c r="W3" s="134" t="s">
        <v>344</v>
      </c>
      <c r="X3" s="134" t="s">
        <v>345</v>
      </c>
    </row>
    <row r="4" spans="1:24" x14ac:dyDescent="0.3">
      <c r="A4" s="135"/>
      <c r="B4" s="135"/>
      <c r="C4" s="135"/>
      <c r="D4" s="135"/>
      <c r="E4" s="136"/>
      <c r="F4" s="136"/>
      <c r="G4" s="136"/>
      <c r="H4" s="136"/>
      <c r="I4" s="136"/>
      <c r="J4" s="136"/>
      <c r="K4" s="134" t="s">
        <v>346</v>
      </c>
      <c r="L4" s="134" t="s">
        <v>346</v>
      </c>
      <c r="M4" s="134" t="s">
        <v>347</v>
      </c>
      <c r="N4" s="134" t="s">
        <v>348</v>
      </c>
      <c r="O4" s="134" t="s">
        <v>349</v>
      </c>
      <c r="P4" s="134" t="s">
        <v>350</v>
      </c>
      <c r="Q4" s="134" t="s">
        <v>351</v>
      </c>
      <c r="R4" s="134" t="s">
        <v>352</v>
      </c>
      <c r="S4" s="134" t="s">
        <v>353</v>
      </c>
      <c r="T4" s="134" t="s">
        <v>354</v>
      </c>
      <c r="U4" s="134" t="s">
        <v>355</v>
      </c>
      <c r="V4" s="134" t="s">
        <v>356</v>
      </c>
      <c r="W4" s="134" t="s">
        <v>357</v>
      </c>
      <c r="X4" s="137"/>
    </row>
    <row r="5" spans="1:24" x14ac:dyDescent="0.3">
      <c r="A5" s="132">
        <v>100</v>
      </c>
      <c r="B5" s="132">
        <v>3230</v>
      </c>
      <c r="C5" s="132">
        <v>0</v>
      </c>
      <c r="D5" s="132">
        <v>0</v>
      </c>
      <c r="E5" s="133" t="s">
        <v>288</v>
      </c>
      <c r="K5" s="138">
        <v>59297</v>
      </c>
      <c r="L5" s="138">
        <v>0</v>
      </c>
      <c r="M5" s="138">
        <v>0</v>
      </c>
      <c r="N5" s="138">
        <v>18836.939999999999</v>
      </c>
      <c r="O5" s="138">
        <v>0</v>
      </c>
      <c r="P5" s="138">
        <v>0</v>
      </c>
      <c r="Q5" s="138">
        <v>14390.77</v>
      </c>
      <c r="R5" s="138">
        <v>0</v>
      </c>
      <c r="S5" s="138">
        <v>0</v>
      </c>
      <c r="T5" s="138">
        <v>11245.04</v>
      </c>
      <c r="U5" s="138">
        <v>0</v>
      </c>
      <c r="V5" s="138">
        <v>0</v>
      </c>
      <c r="W5" s="138">
        <v>14272.07</v>
      </c>
      <c r="X5" s="138">
        <f>SUM(L5:W5)</f>
        <v>58744.82</v>
      </c>
    </row>
    <row r="6" spans="1:24" x14ac:dyDescent="0.3">
      <c r="A6" s="132">
        <v>100</v>
      </c>
      <c r="B6" s="132">
        <v>3290</v>
      </c>
      <c r="C6" s="132">
        <v>0</v>
      </c>
      <c r="D6" s="132">
        <v>0</v>
      </c>
      <c r="E6" s="133" t="s">
        <v>289</v>
      </c>
      <c r="K6" s="138">
        <v>199367</v>
      </c>
      <c r="L6" s="138">
        <v>0</v>
      </c>
      <c r="M6" s="138">
        <v>0</v>
      </c>
      <c r="N6" s="138">
        <v>46313.61</v>
      </c>
      <c r="O6" s="138">
        <v>0</v>
      </c>
      <c r="P6" s="138">
        <v>0</v>
      </c>
      <c r="Q6" s="138">
        <v>0</v>
      </c>
      <c r="R6" s="138">
        <v>0</v>
      </c>
      <c r="S6" s="138">
        <v>53874.46</v>
      </c>
      <c r="T6" s="138">
        <v>49337.24</v>
      </c>
      <c r="U6" s="138">
        <v>0</v>
      </c>
      <c r="V6" s="138">
        <v>0</v>
      </c>
      <c r="W6" s="138">
        <v>70085.87</v>
      </c>
      <c r="X6" s="138">
        <f t="shared" ref="X6:X69" si="0">SUM(L6:W6)</f>
        <v>219611.18</v>
      </c>
    </row>
    <row r="7" spans="1:24" x14ac:dyDescent="0.3">
      <c r="A7" s="132">
        <v>100</v>
      </c>
      <c r="B7" s="132">
        <v>3300</v>
      </c>
      <c r="C7" s="132">
        <v>0</v>
      </c>
      <c r="D7" s="132">
        <v>0</v>
      </c>
      <c r="E7" s="133" t="s">
        <v>290</v>
      </c>
      <c r="K7" s="138">
        <v>607119</v>
      </c>
      <c r="L7" s="138">
        <v>56586.25</v>
      </c>
      <c r="M7" s="138">
        <v>56586.239999999998</v>
      </c>
      <c r="N7" s="138">
        <v>49362.48</v>
      </c>
      <c r="O7" s="138">
        <v>45332.97</v>
      </c>
      <c r="P7" s="138">
        <v>40418.76</v>
      </c>
      <c r="Q7" s="138">
        <v>49444.92</v>
      </c>
      <c r="R7" s="138">
        <v>56421.03</v>
      </c>
      <c r="S7" s="138">
        <v>47756.02</v>
      </c>
      <c r="T7" s="138">
        <v>50238.58</v>
      </c>
      <c r="U7" s="138">
        <v>54274.42</v>
      </c>
      <c r="V7" s="138">
        <v>50642.16</v>
      </c>
      <c r="W7" s="138">
        <v>50652.17</v>
      </c>
      <c r="X7" s="138">
        <f t="shared" si="0"/>
        <v>607716.00000000012</v>
      </c>
    </row>
    <row r="8" spans="1:24" x14ac:dyDescent="0.3">
      <c r="A8" s="132">
        <v>100</v>
      </c>
      <c r="B8" s="132">
        <v>3334</v>
      </c>
      <c r="C8" s="132">
        <v>0</v>
      </c>
      <c r="D8" s="132">
        <v>0</v>
      </c>
      <c r="E8" s="133" t="s">
        <v>291</v>
      </c>
      <c r="K8" s="138">
        <v>756</v>
      </c>
      <c r="L8" s="138">
        <v>0</v>
      </c>
      <c r="M8" s="138">
        <v>0</v>
      </c>
      <c r="N8" s="138">
        <v>756</v>
      </c>
      <c r="O8" s="138">
        <v>0</v>
      </c>
      <c r="P8" s="138">
        <v>0</v>
      </c>
      <c r="Q8" s="138">
        <v>0</v>
      </c>
      <c r="R8" s="138">
        <v>0</v>
      </c>
      <c r="S8" s="138">
        <v>0</v>
      </c>
      <c r="T8" s="138">
        <v>0</v>
      </c>
      <c r="U8" s="138">
        <v>0</v>
      </c>
      <c r="V8" s="138">
        <v>0</v>
      </c>
      <c r="W8" s="138">
        <v>0</v>
      </c>
      <c r="X8" s="138">
        <f t="shared" si="0"/>
        <v>756</v>
      </c>
    </row>
    <row r="9" spans="1:24" x14ac:dyDescent="0.3">
      <c r="A9" s="132">
        <v>100</v>
      </c>
      <c r="B9" s="132">
        <v>3355</v>
      </c>
      <c r="C9" s="132">
        <v>0</v>
      </c>
      <c r="D9" s="132">
        <v>0</v>
      </c>
      <c r="E9" s="133" t="s">
        <v>335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f t="shared" si="0"/>
        <v>0</v>
      </c>
    </row>
    <row r="10" spans="1:24" x14ac:dyDescent="0.3">
      <c r="A10" s="132">
        <v>100</v>
      </c>
      <c r="B10" s="132">
        <v>3397</v>
      </c>
      <c r="C10" s="132">
        <v>0</v>
      </c>
      <c r="D10" s="132">
        <v>0</v>
      </c>
      <c r="E10" s="133" t="s">
        <v>151</v>
      </c>
      <c r="K10" s="138">
        <v>26895</v>
      </c>
      <c r="L10" s="138">
        <v>1520.8</v>
      </c>
      <c r="M10" s="138">
        <v>3699.2</v>
      </c>
      <c r="N10" s="138">
        <v>2613</v>
      </c>
      <c r="O10" s="138">
        <v>2411</v>
      </c>
      <c r="P10" s="138">
        <v>2410</v>
      </c>
      <c r="Q10" s="138">
        <v>2013</v>
      </c>
      <c r="R10" s="138">
        <v>2008</v>
      </c>
      <c r="S10" s="138">
        <v>2008</v>
      </c>
      <c r="T10" s="138">
        <v>2053</v>
      </c>
      <c r="U10" s="138">
        <v>2156</v>
      </c>
      <c r="V10" s="138">
        <v>2156</v>
      </c>
      <c r="W10" s="138">
        <v>2224</v>
      </c>
      <c r="X10" s="138">
        <f t="shared" si="0"/>
        <v>27272</v>
      </c>
    </row>
    <row r="11" spans="1:24" x14ac:dyDescent="0.3">
      <c r="A11" s="132">
        <v>100</v>
      </c>
      <c r="B11" s="132">
        <v>3400</v>
      </c>
      <c r="C11" s="132">
        <v>0</v>
      </c>
      <c r="D11" s="132">
        <v>0</v>
      </c>
      <c r="E11" s="133" t="s">
        <v>292</v>
      </c>
      <c r="K11" s="138">
        <v>17</v>
      </c>
      <c r="L11" s="138">
        <v>1.55</v>
      </c>
      <c r="M11" s="138">
        <v>1.48</v>
      </c>
      <c r="N11" s="138">
        <v>1.64</v>
      </c>
      <c r="O11" s="138">
        <v>1.24</v>
      </c>
      <c r="P11" s="138">
        <v>0.97</v>
      </c>
      <c r="Q11" s="138">
        <v>1.23</v>
      </c>
      <c r="R11" s="138">
        <v>1.6</v>
      </c>
      <c r="S11" s="138">
        <v>1.5</v>
      </c>
      <c r="T11" s="138">
        <v>1.68</v>
      </c>
      <c r="U11" s="138">
        <v>1.43</v>
      </c>
      <c r="V11" s="138">
        <v>1.5</v>
      </c>
      <c r="W11" s="138">
        <v>1.94</v>
      </c>
      <c r="X11" s="138">
        <f t="shared" si="0"/>
        <v>17.759999999999998</v>
      </c>
    </row>
    <row r="12" spans="1:24" x14ac:dyDescent="0.3">
      <c r="A12" s="132">
        <v>100</v>
      </c>
      <c r="B12" s="132">
        <v>3440</v>
      </c>
      <c r="C12" s="132">
        <v>0</v>
      </c>
      <c r="D12" s="132">
        <v>0</v>
      </c>
      <c r="E12" s="133" t="s">
        <v>293</v>
      </c>
      <c r="K12" s="138">
        <v>0</v>
      </c>
      <c r="L12" s="138">
        <v>0</v>
      </c>
      <c r="M12" s="138">
        <v>0</v>
      </c>
      <c r="N12" s="138">
        <v>0</v>
      </c>
      <c r="O12" s="138">
        <v>0</v>
      </c>
      <c r="P12" s="138">
        <v>0</v>
      </c>
      <c r="Q12" s="138">
        <v>0</v>
      </c>
      <c r="R12" s="138">
        <v>0</v>
      </c>
      <c r="S12" s="138">
        <v>0</v>
      </c>
      <c r="T12" s="138">
        <v>0</v>
      </c>
      <c r="U12" s="138">
        <v>0</v>
      </c>
      <c r="V12" s="138">
        <v>0</v>
      </c>
      <c r="W12" s="138">
        <v>0</v>
      </c>
      <c r="X12" s="138">
        <f t="shared" si="0"/>
        <v>0</v>
      </c>
    </row>
    <row r="13" spans="1:24" x14ac:dyDescent="0.3">
      <c r="A13" s="132">
        <v>100</v>
      </c>
      <c r="B13" s="132">
        <v>3473</v>
      </c>
      <c r="C13" s="132">
        <v>0</v>
      </c>
      <c r="D13" s="132">
        <v>0</v>
      </c>
      <c r="E13" s="133" t="s">
        <v>294</v>
      </c>
      <c r="K13" s="138">
        <v>2356</v>
      </c>
      <c r="L13" s="138">
        <v>0</v>
      </c>
      <c r="M13" s="138">
        <v>434</v>
      </c>
      <c r="N13" s="138">
        <v>0</v>
      </c>
      <c r="O13" s="138">
        <v>0</v>
      </c>
      <c r="P13" s="138">
        <v>0</v>
      </c>
      <c r="Q13" s="138">
        <v>300</v>
      </c>
      <c r="R13" s="138">
        <v>0</v>
      </c>
      <c r="S13" s="138">
        <v>0</v>
      </c>
      <c r="T13" s="138">
        <v>1285</v>
      </c>
      <c r="U13" s="138">
        <v>0</v>
      </c>
      <c r="V13" s="138">
        <v>2934.15</v>
      </c>
      <c r="W13" s="138">
        <v>6337.87</v>
      </c>
      <c r="X13" s="138">
        <f t="shared" si="0"/>
        <v>11291.02</v>
      </c>
    </row>
    <row r="14" spans="1:24" x14ac:dyDescent="0.3">
      <c r="A14" s="132">
        <v>100</v>
      </c>
      <c r="B14" s="132">
        <v>3474</v>
      </c>
      <c r="C14" s="132">
        <v>0</v>
      </c>
      <c r="D14" s="132">
        <v>0</v>
      </c>
      <c r="E14" s="133" t="s">
        <v>295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f t="shared" si="0"/>
        <v>0</v>
      </c>
    </row>
    <row r="15" spans="1:24" x14ac:dyDescent="0.3">
      <c r="A15" s="132">
        <v>100</v>
      </c>
      <c r="B15" s="132">
        <v>3475</v>
      </c>
      <c r="C15" s="132">
        <v>0</v>
      </c>
      <c r="D15" s="132">
        <v>0</v>
      </c>
      <c r="E15" s="133" t="s">
        <v>287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8">
        <v>0</v>
      </c>
      <c r="X15" s="138">
        <f t="shared" si="0"/>
        <v>0</v>
      </c>
    </row>
    <row r="16" spans="1:24" x14ac:dyDescent="0.3">
      <c r="A16" s="132">
        <v>100</v>
      </c>
      <c r="B16" s="132">
        <v>3477</v>
      </c>
      <c r="C16" s="132">
        <v>0</v>
      </c>
      <c r="D16" s="132">
        <v>0</v>
      </c>
      <c r="E16" s="133" t="s">
        <v>336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138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0</v>
      </c>
      <c r="W16" s="138">
        <v>0</v>
      </c>
      <c r="X16" s="138">
        <f t="shared" si="0"/>
        <v>0</v>
      </c>
    </row>
    <row r="17" spans="1:29" x14ac:dyDescent="0.3">
      <c r="A17" s="132">
        <v>100</v>
      </c>
      <c r="B17" s="132">
        <v>3600</v>
      </c>
      <c r="C17" s="132">
        <v>0</v>
      </c>
      <c r="D17" s="132">
        <v>0</v>
      </c>
      <c r="E17" s="133" t="s">
        <v>297</v>
      </c>
      <c r="K17" s="138">
        <v>4667</v>
      </c>
      <c r="L17" s="138">
        <v>570</v>
      </c>
      <c r="M17" s="138">
        <v>0</v>
      </c>
      <c r="N17" s="138">
        <v>145</v>
      </c>
      <c r="O17" s="138">
        <v>55</v>
      </c>
      <c r="P17" s="138">
        <v>1690</v>
      </c>
      <c r="Q17" s="138">
        <v>310</v>
      </c>
      <c r="R17" s="138">
        <v>665</v>
      </c>
      <c r="S17" s="138">
        <v>120</v>
      </c>
      <c r="T17" s="138">
        <v>445</v>
      </c>
      <c r="U17" s="138">
        <v>6542.95</v>
      </c>
      <c r="V17" s="138">
        <v>200</v>
      </c>
      <c r="W17" s="138">
        <v>50135</v>
      </c>
      <c r="X17" s="138">
        <f t="shared" si="0"/>
        <v>60877.95</v>
      </c>
    </row>
    <row r="18" spans="1:29" x14ac:dyDescent="0.3">
      <c r="A18" s="132">
        <v>493</v>
      </c>
      <c r="B18" s="132">
        <v>3290</v>
      </c>
      <c r="C18" s="132">
        <v>0</v>
      </c>
      <c r="D18" s="132">
        <v>0</v>
      </c>
      <c r="E18" s="133" t="s">
        <v>298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138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0</v>
      </c>
      <c r="W18" s="138">
        <v>0</v>
      </c>
      <c r="X18" s="138">
        <f t="shared" si="0"/>
        <v>0</v>
      </c>
    </row>
    <row r="19" spans="1:29" x14ac:dyDescent="0.3">
      <c r="A19" s="132"/>
      <c r="B19" s="132"/>
      <c r="C19" s="132"/>
      <c r="D19" s="132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>
        <f t="shared" si="0"/>
        <v>0</v>
      </c>
    </row>
    <row r="20" spans="1:29" x14ac:dyDescent="0.3">
      <c r="A20" s="132"/>
      <c r="B20" s="132"/>
      <c r="C20" s="132"/>
      <c r="D20" s="132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>
        <f t="shared" si="0"/>
        <v>0</v>
      </c>
    </row>
    <row r="21" spans="1:29" x14ac:dyDescent="0.3">
      <c r="A21" s="132"/>
      <c r="B21" s="132"/>
      <c r="C21" s="132"/>
      <c r="D21" s="132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>
        <f t="shared" si="0"/>
        <v>0</v>
      </c>
    </row>
    <row r="22" spans="1:29" x14ac:dyDescent="0.3">
      <c r="A22" s="132">
        <v>100</v>
      </c>
      <c r="B22" s="132">
        <v>4000</v>
      </c>
      <c r="C22" s="132">
        <v>5200</v>
      </c>
      <c r="D22" s="132">
        <v>120</v>
      </c>
      <c r="E22" s="133" t="s">
        <v>358</v>
      </c>
      <c r="K22" s="138">
        <v>134412</v>
      </c>
      <c r="L22" s="138">
        <v>1049.1199999999999</v>
      </c>
      <c r="M22" s="138">
        <v>9890.42</v>
      </c>
      <c r="N22" s="138">
        <v>9106.66</v>
      </c>
      <c r="O22" s="138">
        <v>9106.66</v>
      </c>
      <c r="P22" s="138">
        <v>9106.66</v>
      </c>
      <c r="Q22" s="138">
        <v>9106.66</v>
      </c>
      <c r="R22" s="138">
        <v>9106.66</v>
      </c>
      <c r="S22" s="138">
        <v>9106.66</v>
      </c>
      <c r="T22" s="138">
        <v>9605.94</v>
      </c>
      <c r="U22" s="138">
        <v>26027.5</v>
      </c>
      <c r="V22" s="138">
        <v>26930.9</v>
      </c>
      <c r="W22" s="138">
        <v>24681.23</v>
      </c>
      <c r="X22" s="138">
        <f t="shared" si="0"/>
        <v>152825.07000000004</v>
      </c>
      <c r="AA22" s="138">
        <f>+X22+X23+X24+X30+X31+X37+X38</f>
        <v>324448.20000000007</v>
      </c>
      <c r="AB22" s="139" t="s">
        <v>374</v>
      </c>
    </row>
    <row r="23" spans="1:29" x14ac:dyDescent="0.3">
      <c r="A23" s="132">
        <v>100</v>
      </c>
      <c r="B23" s="132">
        <v>4000</v>
      </c>
      <c r="C23" s="132">
        <v>5200</v>
      </c>
      <c r="D23" s="132">
        <v>121</v>
      </c>
      <c r="E23" s="133" t="s">
        <v>359</v>
      </c>
      <c r="K23" s="138">
        <v>12617</v>
      </c>
      <c r="L23" s="138">
        <v>0</v>
      </c>
      <c r="M23" s="138">
        <v>100.44</v>
      </c>
      <c r="N23" s="138">
        <v>1006.72</v>
      </c>
      <c r="O23" s="138">
        <v>1340.58</v>
      </c>
      <c r="P23" s="138">
        <v>1157.3499999999999</v>
      </c>
      <c r="Q23" s="138">
        <v>1011.79</v>
      </c>
      <c r="R23" s="138">
        <v>1560.58</v>
      </c>
      <c r="S23" s="138">
        <v>1226.5</v>
      </c>
      <c r="T23" s="138">
        <v>1042.54</v>
      </c>
      <c r="U23" s="138">
        <v>0</v>
      </c>
      <c r="V23" s="138">
        <v>0</v>
      </c>
      <c r="W23" s="138">
        <v>0</v>
      </c>
      <c r="X23" s="138">
        <f t="shared" si="0"/>
        <v>8446.5</v>
      </c>
      <c r="AA23" s="138">
        <f>+X32+X25+X40</f>
        <v>20916.889999999996</v>
      </c>
      <c r="AB23" s="139" t="s">
        <v>375</v>
      </c>
      <c r="AC23" s="159">
        <f>+AA23/$AA$22</f>
        <v>6.4469120186211523E-2</v>
      </c>
    </row>
    <row r="24" spans="1:29" x14ac:dyDescent="0.3">
      <c r="A24" s="132">
        <v>100</v>
      </c>
      <c r="B24" s="132">
        <v>4000</v>
      </c>
      <c r="C24" s="132">
        <v>5200</v>
      </c>
      <c r="D24" s="132">
        <v>150</v>
      </c>
      <c r="E24" s="133" t="s">
        <v>360</v>
      </c>
      <c r="K24" s="138">
        <v>109433</v>
      </c>
      <c r="L24" s="138">
        <v>5584.28</v>
      </c>
      <c r="M24" s="138">
        <v>6145.96</v>
      </c>
      <c r="N24" s="138">
        <v>9003.1299999999992</v>
      </c>
      <c r="O24" s="138">
        <v>10879.1</v>
      </c>
      <c r="P24" s="138">
        <v>9673.2900000000009</v>
      </c>
      <c r="Q24" s="138">
        <v>7904.22</v>
      </c>
      <c r="R24" s="138">
        <v>11384.07</v>
      </c>
      <c r="S24" s="138">
        <v>9720.2800000000007</v>
      </c>
      <c r="T24" s="138">
        <v>7827.73</v>
      </c>
      <c r="U24" s="138">
        <v>0</v>
      </c>
      <c r="V24" s="138">
        <v>0</v>
      </c>
      <c r="W24" s="138">
        <v>0</v>
      </c>
      <c r="X24" s="138">
        <f t="shared" si="0"/>
        <v>78122.06</v>
      </c>
      <c r="AA24" s="138">
        <f>+X26+X33+X42</f>
        <v>25254.54</v>
      </c>
      <c r="AB24" s="139" t="s">
        <v>376</v>
      </c>
      <c r="AC24" s="159">
        <f t="shared" ref="AC24:AC28" si="1">+AA24/$AA$22</f>
        <v>7.7838434609900739E-2</v>
      </c>
    </row>
    <row r="25" spans="1:29" x14ac:dyDescent="0.3">
      <c r="A25" s="132">
        <v>100</v>
      </c>
      <c r="B25" s="132">
        <v>4000</v>
      </c>
      <c r="C25" s="132">
        <v>5200</v>
      </c>
      <c r="D25" s="132">
        <v>210</v>
      </c>
      <c r="E25" s="133" t="s">
        <v>30</v>
      </c>
      <c r="K25" s="138">
        <v>16458</v>
      </c>
      <c r="L25" s="138">
        <v>343.62</v>
      </c>
      <c r="M25" s="138">
        <v>1205.6500000000001</v>
      </c>
      <c r="N25" s="138">
        <v>1161.45</v>
      </c>
      <c r="O25" s="138">
        <v>1292.19</v>
      </c>
      <c r="P25" s="138">
        <v>1207.4000000000001</v>
      </c>
      <c r="Q25" s="138">
        <v>1707.11</v>
      </c>
      <c r="R25" s="138">
        <v>1878.47</v>
      </c>
      <c r="S25" s="138">
        <v>1221.1600000000001</v>
      </c>
      <c r="T25" s="138">
        <v>1003.24</v>
      </c>
      <c r="U25" s="138">
        <v>2133.41</v>
      </c>
      <c r="V25" s="138">
        <v>1817.58</v>
      </c>
      <c r="W25" s="138">
        <v>1406.62</v>
      </c>
      <c r="X25" s="138">
        <f t="shared" si="0"/>
        <v>16377.899999999998</v>
      </c>
      <c r="AA25" s="138">
        <f>+X27+X34+X44</f>
        <v>27174.970000000005</v>
      </c>
      <c r="AB25" s="139" t="s">
        <v>377</v>
      </c>
      <c r="AC25" s="159">
        <f t="shared" si="1"/>
        <v>8.3757499656339593E-2</v>
      </c>
    </row>
    <row r="26" spans="1:29" x14ac:dyDescent="0.3">
      <c r="A26" s="132">
        <v>100</v>
      </c>
      <c r="B26" s="132">
        <v>4000</v>
      </c>
      <c r="C26" s="132">
        <v>5200</v>
      </c>
      <c r="D26" s="132">
        <v>220</v>
      </c>
      <c r="E26" s="133" t="s">
        <v>32</v>
      </c>
      <c r="K26" s="138">
        <v>19872</v>
      </c>
      <c r="L26" s="138">
        <v>529.32000000000005</v>
      </c>
      <c r="M26" s="138">
        <v>1234.46</v>
      </c>
      <c r="N26" s="138">
        <v>1534.04</v>
      </c>
      <c r="O26" s="138">
        <v>1725.46</v>
      </c>
      <c r="P26" s="138">
        <v>1590.83</v>
      </c>
      <c r="Q26" s="138">
        <v>1378.73</v>
      </c>
      <c r="R26" s="138">
        <v>1686.93</v>
      </c>
      <c r="S26" s="138">
        <v>1534.07</v>
      </c>
      <c r="T26" s="138">
        <v>1413.45</v>
      </c>
      <c r="U26" s="138">
        <v>2170.41</v>
      </c>
      <c r="V26" s="138">
        <v>2359.9499999999998</v>
      </c>
      <c r="W26" s="138">
        <v>1590.18</v>
      </c>
      <c r="X26" s="138">
        <f t="shared" si="0"/>
        <v>18747.830000000002</v>
      </c>
      <c r="AA26" s="138">
        <f>+X28+X35+X45</f>
        <v>2589.69</v>
      </c>
      <c r="AB26" s="139" t="s">
        <v>378</v>
      </c>
      <c r="AC26" s="159">
        <f t="shared" si="1"/>
        <v>7.9818288404743792E-3</v>
      </c>
    </row>
    <row r="27" spans="1:29" x14ac:dyDescent="0.3">
      <c r="A27" s="132">
        <v>100</v>
      </c>
      <c r="B27" s="132">
        <v>4000</v>
      </c>
      <c r="C27" s="132">
        <v>5200</v>
      </c>
      <c r="D27" s="132">
        <v>230</v>
      </c>
      <c r="E27" s="133" t="s">
        <v>361</v>
      </c>
      <c r="K27" s="138">
        <v>24939</v>
      </c>
      <c r="L27" s="138">
        <v>1111.21</v>
      </c>
      <c r="M27" s="138">
        <v>1425.56</v>
      </c>
      <c r="N27" s="138">
        <v>1498.21</v>
      </c>
      <c r="O27" s="138">
        <v>1498.21</v>
      </c>
      <c r="P27" s="138">
        <v>2362.0700000000002</v>
      </c>
      <c r="Q27" s="138">
        <v>2352.02</v>
      </c>
      <c r="R27" s="138">
        <v>2242.46</v>
      </c>
      <c r="S27" s="138">
        <v>2818.57</v>
      </c>
      <c r="T27" s="138">
        <v>1926.09</v>
      </c>
      <c r="U27" s="138">
        <v>2469.2199999999998</v>
      </c>
      <c r="V27" s="138">
        <v>2479.2199999999998</v>
      </c>
      <c r="W27" s="138">
        <v>2479.2199999999998</v>
      </c>
      <c r="X27" s="138">
        <f t="shared" si="0"/>
        <v>24662.060000000005</v>
      </c>
      <c r="AA27" s="138">
        <f>+X29+X36+X46</f>
        <v>4903.4699999999984</v>
      </c>
      <c r="AB27" s="139" t="s">
        <v>379</v>
      </c>
      <c r="AC27" s="159">
        <f t="shared" si="1"/>
        <v>1.5113259990346678E-2</v>
      </c>
    </row>
    <row r="28" spans="1:29" x14ac:dyDescent="0.3">
      <c r="A28" s="132">
        <v>100</v>
      </c>
      <c r="B28" s="132">
        <v>4000</v>
      </c>
      <c r="C28" s="132">
        <v>5200</v>
      </c>
      <c r="D28" s="132">
        <v>240</v>
      </c>
      <c r="E28" s="133" t="s">
        <v>362</v>
      </c>
      <c r="K28" s="138">
        <v>1432</v>
      </c>
      <c r="L28" s="138">
        <v>0</v>
      </c>
      <c r="M28" s="138">
        <v>1647.98</v>
      </c>
      <c r="N28" s="138">
        <v>0</v>
      </c>
      <c r="O28" s="138">
        <v>0</v>
      </c>
      <c r="P28" s="138">
        <v>0</v>
      </c>
      <c r="Q28" s="138">
        <v>0</v>
      </c>
      <c r="R28" s="138">
        <v>-215.52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f t="shared" si="0"/>
        <v>1432.46</v>
      </c>
      <c r="AA28" s="138">
        <f>SUM(AA22:AA27)</f>
        <v>405287.76000000007</v>
      </c>
      <c r="AB28" s="139" t="s">
        <v>380</v>
      </c>
      <c r="AC28" s="159">
        <f t="shared" si="1"/>
        <v>1.2491601432832729</v>
      </c>
    </row>
    <row r="29" spans="1:29" x14ac:dyDescent="0.3">
      <c r="A29" s="132">
        <v>100</v>
      </c>
      <c r="B29" s="132">
        <v>4000</v>
      </c>
      <c r="C29" s="132">
        <v>5200</v>
      </c>
      <c r="D29" s="132">
        <v>250</v>
      </c>
      <c r="E29" s="133" t="s">
        <v>363</v>
      </c>
      <c r="K29" s="138">
        <v>5647</v>
      </c>
      <c r="L29" s="138">
        <v>143.51</v>
      </c>
      <c r="M29" s="138">
        <v>335.21</v>
      </c>
      <c r="N29" s="138">
        <v>416.65</v>
      </c>
      <c r="O29" s="138">
        <v>468.7</v>
      </c>
      <c r="P29" s="138">
        <v>432.13</v>
      </c>
      <c r="Q29" s="138">
        <v>374.44</v>
      </c>
      <c r="R29" s="138">
        <v>590.55999999999995</v>
      </c>
      <c r="S29" s="138">
        <v>527.99</v>
      </c>
      <c r="T29" s="138">
        <v>471.54</v>
      </c>
      <c r="U29" s="138">
        <v>212.5</v>
      </c>
      <c r="V29" s="138">
        <v>163.15</v>
      </c>
      <c r="W29" s="138">
        <v>-798.15</v>
      </c>
      <c r="X29" s="138">
        <f t="shared" si="0"/>
        <v>3338.2299999999991</v>
      </c>
    </row>
    <row r="30" spans="1:29" x14ac:dyDescent="0.3">
      <c r="A30" s="132">
        <v>100</v>
      </c>
      <c r="B30" s="132">
        <v>4000</v>
      </c>
      <c r="C30" s="132">
        <v>6100</v>
      </c>
      <c r="D30" s="132">
        <v>130</v>
      </c>
      <c r="E30" s="133" t="s">
        <v>364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>
        <f t="shared" si="0"/>
        <v>0</v>
      </c>
    </row>
    <row r="31" spans="1:29" x14ac:dyDescent="0.3">
      <c r="A31" s="132">
        <v>100</v>
      </c>
      <c r="B31" s="132">
        <v>4000</v>
      </c>
      <c r="C31" s="132">
        <v>6100</v>
      </c>
      <c r="D31" s="132">
        <v>150</v>
      </c>
      <c r="E31" s="133" t="s">
        <v>365</v>
      </c>
      <c r="K31" s="138">
        <v>71528</v>
      </c>
      <c r="L31" s="138">
        <v>2552.56</v>
      </c>
      <c r="M31" s="138">
        <v>3263.15</v>
      </c>
      <c r="N31" s="138">
        <v>6075.98</v>
      </c>
      <c r="O31" s="138">
        <v>7555.27</v>
      </c>
      <c r="P31" s="138">
        <v>7079.09</v>
      </c>
      <c r="Q31" s="138">
        <v>5954.47</v>
      </c>
      <c r="R31" s="138">
        <v>7470.51</v>
      </c>
      <c r="S31" s="138">
        <v>5924.81</v>
      </c>
      <c r="T31" s="138">
        <v>5130.3999999999996</v>
      </c>
      <c r="U31" s="138">
        <v>0</v>
      </c>
      <c r="V31" s="138">
        <v>0</v>
      </c>
      <c r="W31" s="138">
        <v>0</v>
      </c>
      <c r="X31" s="138">
        <f t="shared" si="0"/>
        <v>51006.239999999998</v>
      </c>
    </row>
    <row r="32" spans="1:29" x14ac:dyDescent="0.3">
      <c r="A32" s="132">
        <v>100</v>
      </c>
      <c r="B32" s="132">
        <v>4000</v>
      </c>
      <c r="C32" s="132">
        <v>6100</v>
      </c>
      <c r="D32" s="132">
        <v>210</v>
      </c>
      <c r="E32" s="133" t="s">
        <v>30</v>
      </c>
      <c r="K32" s="138">
        <v>4467</v>
      </c>
      <c r="L32" s="138">
        <v>132.22999999999999</v>
      </c>
      <c r="M32" s="138">
        <v>253.74</v>
      </c>
      <c r="N32" s="138">
        <v>381.22</v>
      </c>
      <c r="O32" s="138">
        <v>464.12</v>
      </c>
      <c r="P32" s="138">
        <v>440.81</v>
      </c>
      <c r="Q32" s="138">
        <v>369</v>
      </c>
      <c r="R32" s="138">
        <v>463.97</v>
      </c>
      <c r="S32" s="138">
        <v>367.91</v>
      </c>
      <c r="T32" s="138">
        <v>318.85000000000002</v>
      </c>
      <c r="U32" s="138">
        <v>225.09</v>
      </c>
      <c r="V32" s="138">
        <v>0</v>
      </c>
      <c r="W32" s="138">
        <v>0</v>
      </c>
      <c r="X32" s="138">
        <f t="shared" si="0"/>
        <v>3416.94</v>
      </c>
    </row>
    <row r="33" spans="1:25" x14ac:dyDescent="0.3">
      <c r="A33" s="132">
        <v>100</v>
      </c>
      <c r="B33" s="132">
        <v>4000</v>
      </c>
      <c r="C33" s="132">
        <v>6100</v>
      </c>
      <c r="D33" s="132">
        <v>220</v>
      </c>
      <c r="E33" s="133" t="s">
        <v>32</v>
      </c>
      <c r="K33" s="138">
        <v>5472</v>
      </c>
      <c r="L33" s="138">
        <v>195.28</v>
      </c>
      <c r="M33" s="138">
        <v>249.63</v>
      </c>
      <c r="N33" s="138">
        <v>464.82</v>
      </c>
      <c r="O33" s="138">
        <v>577.97</v>
      </c>
      <c r="P33" s="138">
        <v>541.55999999999995</v>
      </c>
      <c r="Q33" s="138">
        <v>455.51</v>
      </c>
      <c r="R33" s="138">
        <v>571.51</v>
      </c>
      <c r="S33" s="138">
        <v>453.24</v>
      </c>
      <c r="T33" s="138">
        <v>392.47</v>
      </c>
      <c r="U33" s="138">
        <v>0</v>
      </c>
      <c r="V33" s="138">
        <v>0</v>
      </c>
      <c r="W33" s="138">
        <v>0</v>
      </c>
      <c r="X33" s="138">
        <f t="shared" si="0"/>
        <v>3901.99</v>
      </c>
    </row>
    <row r="34" spans="1:25" x14ac:dyDescent="0.3">
      <c r="A34" s="132">
        <v>100</v>
      </c>
      <c r="B34" s="132">
        <v>4000</v>
      </c>
      <c r="C34" s="132">
        <v>6100</v>
      </c>
      <c r="D34" s="132">
        <v>230</v>
      </c>
      <c r="E34" s="133" t="s">
        <v>361</v>
      </c>
      <c r="K34" s="138">
        <v>3584</v>
      </c>
      <c r="L34" s="138">
        <v>0</v>
      </c>
      <c r="M34" s="138">
        <v>0</v>
      </c>
      <c r="N34" s="138">
        <v>0</v>
      </c>
      <c r="O34" s="138">
        <v>0</v>
      </c>
      <c r="P34" s="138">
        <v>444.98</v>
      </c>
      <c r="Q34" s="138">
        <v>4</v>
      </c>
      <c r="R34" s="138">
        <v>123.86</v>
      </c>
      <c r="S34" s="138">
        <v>180.87</v>
      </c>
      <c r="T34" s="138">
        <v>566.08000000000004</v>
      </c>
      <c r="U34" s="138">
        <v>0</v>
      </c>
      <c r="V34" s="138">
        <v>0</v>
      </c>
      <c r="W34" s="138">
        <v>0</v>
      </c>
      <c r="X34" s="138">
        <f t="shared" si="0"/>
        <v>1319.79</v>
      </c>
    </row>
    <row r="35" spans="1:25" x14ac:dyDescent="0.3">
      <c r="A35" s="132">
        <v>100</v>
      </c>
      <c r="B35" s="132">
        <v>4000</v>
      </c>
      <c r="C35" s="132">
        <v>6100</v>
      </c>
      <c r="D35" s="132">
        <v>240</v>
      </c>
      <c r="E35" s="133" t="s">
        <v>362</v>
      </c>
      <c r="K35" s="138">
        <v>898</v>
      </c>
      <c r="L35" s="138">
        <v>0</v>
      </c>
      <c r="M35" s="138">
        <v>1048.73</v>
      </c>
      <c r="N35" s="138">
        <v>0</v>
      </c>
      <c r="O35" s="138">
        <v>0</v>
      </c>
      <c r="P35" s="138">
        <v>0</v>
      </c>
      <c r="Q35" s="138">
        <v>0</v>
      </c>
      <c r="R35" s="138">
        <v>-150.46</v>
      </c>
      <c r="S35" s="138">
        <v>0</v>
      </c>
      <c r="T35" s="138">
        <v>0</v>
      </c>
      <c r="U35" s="138">
        <v>0</v>
      </c>
      <c r="V35" s="138">
        <v>0</v>
      </c>
      <c r="W35" s="138">
        <v>0</v>
      </c>
      <c r="X35" s="138">
        <f t="shared" si="0"/>
        <v>898.27</v>
      </c>
    </row>
    <row r="36" spans="1:25" x14ac:dyDescent="0.3">
      <c r="A36" s="132">
        <v>100</v>
      </c>
      <c r="B36" s="132">
        <v>4000</v>
      </c>
      <c r="C36" s="132">
        <v>6100</v>
      </c>
      <c r="D36" s="132">
        <v>250</v>
      </c>
      <c r="E36" s="133" t="s">
        <v>363</v>
      </c>
      <c r="K36" s="138">
        <v>1706</v>
      </c>
      <c r="L36" s="138">
        <v>53.09</v>
      </c>
      <c r="M36" s="138">
        <v>67.86</v>
      </c>
      <c r="N36" s="138">
        <v>126.38</v>
      </c>
      <c r="O36" s="138">
        <v>157.13999999999999</v>
      </c>
      <c r="P36" s="138">
        <v>146.31</v>
      </c>
      <c r="Q36" s="138">
        <v>121.98</v>
      </c>
      <c r="R36" s="138">
        <v>198.33</v>
      </c>
      <c r="S36" s="138">
        <v>156.93</v>
      </c>
      <c r="T36" s="138">
        <v>135.6</v>
      </c>
      <c r="U36" s="138">
        <v>0</v>
      </c>
      <c r="V36" s="138">
        <v>0</v>
      </c>
      <c r="W36" s="138">
        <v>0</v>
      </c>
      <c r="X36" s="138">
        <f t="shared" si="0"/>
        <v>1163.6199999999999</v>
      </c>
    </row>
    <row r="37" spans="1:25" x14ac:dyDescent="0.3">
      <c r="A37" s="132">
        <v>100</v>
      </c>
      <c r="B37" s="132">
        <v>4000</v>
      </c>
      <c r="C37" s="132">
        <v>7300</v>
      </c>
      <c r="D37" s="132">
        <v>110</v>
      </c>
      <c r="E37" s="133" t="s">
        <v>366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4416.66</v>
      </c>
      <c r="V37" s="138">
        <v>4416.66</v>
      </c>
      <c r="W37" s="138">
        <v>10918.98</v>
      </c>
      <c r="X37" s="138">
        <f t="shared" si="0"/>
        <v>19752.3</v>
      </c>
    </row>
    <row r="38" spans="1:25" x14ac:dyDescent="0.3">
      <c r="A38" s="132">
        <v>100</v>
      </c>
      <c r="B38" s="132">
        <v>4000</v>
      </c>
      <c r="C38" s="132">
        <v>7300</v>
      </c>
      <c r="D38" s="132">
        <v>160</v>
      </c>
      <c r="E38" s="133" t="s">
        <v>367</v>
      </c>
      <c r="K38" s="138">
        <v>20023</v>
      </c>
      <c r="L38" s="138">
        <v>1421.35</v>
      </c>
      <c r="M38" s="138">
        <v>967.68</v>
      </c>
      <c r="N38" s="138">
        <v>581.4</v>
      </c>
      <c r="O38" s="138">
        <v>710.6</v>
      </c>
      <c r="P38" s="138">
        <v>1301.4000000000001</v>
      </c>
      <c r="Q38" s="138">
        <v>2078.85</v>
      </c>
      <c r="R38" s="138">
        <v>3079.65</v>
      </c>
      <c r="S38" s="138">
        <v>2246</v>
      </c>
      <c r="T38" s="138">
        <v>1909.1</v>
      </c>
      <c r="U38" s="138">
        <v>0</v>
      </c>
      <c r="V38" s="138">
        <v>0</v>
      </c>
      <c r="W38" s="138">
        <v>0</v>
      </c>
      <c r="X38" s="138">
        <f t="shared" si="0"/>
        <v>14296.03</v>
      </c>
    </row>
    <row r="39" spans="1:25" x14ac:dyDescent="0.3">
      <c r="A39" s="132">
        <v>493</v>
      </c>
      <c r="B39" s="132">
        <v>4000</v>
      </c>
      <c r="C39" s="132">
        <v>7300</v>
      </c>
      <c r="D39" s="132">
        <v>160</v>
      </c>
      <c r="E39" s="133" t="s">
        <v>368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  <c r="P39" s="138">
        <v>0</v>
      </c>
      <c r="Q39" s="138">
        <v>0</v>
      </c>
      <c r="R39" s="138">
        <v>0</v>
      </c>
      <c r="S39" s="138">
        <v>0</v>
      </c>
      <c r="T39" s="138">
        <v>0</v>
      </c>
      <c r="U39" s="138">
        <v>0</v>
      </c>
      <c r="V39" s="138">
        <v>0</v>
      </c>
      <c r="W39" s="138">
        <v>0</v>
      </c>
      <c r="X39" s="138">
        <f t="shared" si="0"/>
        <v>0</v>
      </c>
    </row>
    <row r="40" spans="1:25" x14ac:dyDescent="0.3">
      <c r="A40" s="132">
        <v>100</v>
      </c>
      <c r="B40" s="132">
        <v>4000</v>
      </c>
      <c r="C40" s="132">
        <v>7300</v>
      </c>
      <c r="D40" s="132">
        <v>210</v>
      </c>
      <c r="E40" s="133" t="s">
        <v>30</v>
      </c>
      <c r="K40" s="138">
        <v>1378</v>
      </c>
      <c r="L40" s="138">
        <v>73.61</v>
      </c>
      <c r="M40" s="138">
        <v>78.64</v>
      </c>
      <c r="N40" s="138">
        <v>40.4</v>
      </c>
      <c r="O40" s="138">
        <v>49.39</v>
      </c>
      <c r="P40" s="138">
        <v>90.44</v>
      </c>
      <c r="Q40" s="138">
        <v>144.47999999999999</v>
      </c>
      <c r="R40" s="138">
        <v>214.03</v>
      </c>
      <c r="S40" s="138">
        <v>156.1</v>
      </c>
      <c r="T40" s="138">
        <v>132.68</v>
      </c>
      <c r="U40" s="138">
        <v>23.86</v>
      </c>
      <c r="V40" s="138">
        <v>23.86</v>
      </c>
      <c r="W40" s="138">
        <v>94.56</v>
      </c>
      <c r="X40" s="138">
        <f t="shared" si="0"/>
        <v>1122.05</v>
      </c>
    </row>
    <row r="41" spans="1:25" x14ac:dyDescent="0.3">
      <c r="A41" s="132">
        <v>493</v>
      </c>
      <c r="B41" s="132">
        <v>4000</v>
      </c>
      <c r="C41" s="132">
        <v>7300</v>
      </c>
      <c r="D41" s="132">
        <v>210</v>
      </c>
      <c r="E41" s="133" t="s">
        <v>369</v>
      </c>
      <c r="K41" s="138">
        <v>0</v>
      </c>
      <c r="L41" s="138">
        <v>0</v>
      </c>
      <c r="M41" s="138">
        <v>0</v>
      </c>
      <c r="N41" s="138">
        <v>0</v>
      </c>
      <c r="O41" s="138">
        <v>0</v>
      </c>
      <c r="P41" s="138">
        <v>0</v>
      </c>
      <c r="Q41" s="138">
        <v>0</v>
      </c>
      <c r="R41" s="138">
        <v>0</v>
      </c>
      <c r="S41" s="138">
        <v>0</v>
      </c>
      <c r="T41" s="138">
        <v>0</v>
      </c>
      <c r="U41" s="138">
        <v>0</v>
      </c>
      <c r="V41" s="138">
        <v>0</v>
      </c>
      <c r="W41" s="138">
        <v>0</v>
      </c>
      <c r="X41" s="138">
        <f t="shared" si="0"/>
        <v>0</v>
      </c>
    </row>
    <row r="42" spans="1:25" x14ac:dyDescent="0.3">
      <c r="A42" s="132">
        <v>100</v>
      </c>
      <c r="B42" s="132">
        <v>4000</v>
      </c>
      <c r="C42" s="132">
        <v>7300</v>
      </c>
      <c r="D42" s="132">
        <v>220</v>
      </c>
      <c r="E42" s="133" t="s">
        <v>32</v>
      </c>
      <c r="K42" s="138">
        <v>1532</v>
      </c>
      <c r="L42" s="138">
        <v>108.74</v>
      </c>
      <c r="M42" s="138">
        <v>74.03</v>
      </c>
      <c r="N42" s="138">
        <v>44.48</v>
      </c>
      <c r="O42" s="138">
        <v>54.36</v>
      </c>
      <c r="P42" s="138">
        <v>99.56</v>
      </c>
      <c r="Q42" s="138">
        <v>159.03</v>
      </c>
      <c r="R42" s="138">
        <v>235.59</v>
      </c>
      <c r="S42" s="138">
        <v>171.82</v>
      </c>
      <c r="T42" s="138">
        <v>146.05000000000001</v>
      </c>
      <c r="U42" s="138">
        <v>337.88</v>
      </c>
      <c r="V42" s="138">
        <v>337.88</v>
      </c>
      <c r="W42" s="138">
        <v>835.3</v>
      </c>
      <c r="X42" s="138">
        <f t="shared" si="0"/>
        <v>2604.7200000000003</v>
      </c>
    </row>
    <row r="43" spans="1:25" x14ac:dyDescent="0.3">
      <c r="A43" s="132">
        <v>493</v>
      </c>
      <c r="B43" s="132">
        <v>4000</v>
      </c>
      <c r="C43" s="132">
        <v>7300</v>
      </c>
      <c r="D43" s="132">
        <v>220</v>
      </c>
      <c r="E43" s="133" t="s">
        <v>370</v>
      </c>
      <c r="K43" s="138">
        <v>0</v>
      </c>
      <c r="L43" s="138">
        <v>0</v>
      </c>
      <c r="M43" s="138">
        <v>0</v>
      </c>
      <c r="N43" s="138">
        <v>0</v>
      </c>
      <c r="O43" s="138">
        <v>0</v>
      </c>
      <c r="P43" s="138">
        <v>0</v>
      </c>
      <c r="Q43" s="138">
        <v>0</v>
      </c>
      <c r="R43" s="138">
        <v>0</v>
      </c>
      <c r="S43" s="138">
        <v>0</v>
      </c>
      <c r="T43" s="138">
        <v>0</v>
      </c>
      <c r="U43" s="138">
        <v>0</v>
      </c>
      <c r="V43" s="138">
        <v>0</v>
      </c>
      <c r="W43" s="138">
        <v>0</v>
      </c>
      <c r="X43" s="138">
        <f t="shared" si="0"/>
        <v>0</v>
      </c>
    </row>
    <row r="44" spans="1:25" x14ac:dyDescent="0.3">
      <c r="A44" s="132">
        <v>100</v>
      </c>
      <c r="B44" s="132">
        <v>4000</v>
      </c>
      <c r="C44" s="132">
        <v>7300</v>
      </c>
      <c r="D44" s="132">
        <v>230</v>
      </c>
      <c r="E44" s="133" t="s">
        <v>361</v>
      </c>
      <c r="K44" s="138">
        <v>2766</v>
      </c>
      <c r="L44" s="138">
        <v>387</v>
      </c>
      <c r="M44" s="138">
        <v>72.650000000000006</v>
      </c>
      <c r="N44" s="138">
        <v>0</v>
      </c>
      <c r="O44" s="138">
        <v>0</v>
      </c>
      <c r="P44" s="138">
        <v>148.33000000000001</v>
      </c>
      <c r="Q44" s="138">
        <v>4</v>
      </c>
      <c r="R44" s="138">
        <v>0</v>
      </c>
      <c r="S44" s="138">
        <v>57.01</v>
      </c>
      <c r="T44" s="138">
        <v>524.13</v>
      </c>
      <c r="U44" s="138">
        <v>0</v>
      </c>
      <c r="V44" s="138">
        <v>0</v>
      </c>
      <c r="W44" s="138">
        <v>0</v>
      </c>
      <c r="X44" s="138">
        <f t="shared" si="0"/>
        <v>1193.1199999999999</v>
      </c>
    </row>
    <row r="45" spans="1:25" x14ac:dyDescent="0.3">
      <c r="A45" s="132">
        <v>100</v>
      </c>
      <c r="B45" s="132">
        <v>4000</v>
      </c>
      <c r="C45" s="132">
        <v>7300</v>
      </c>
      <c r="D45" s="132">
        <v>240</v>
      </c>
      <c r="E45" s="133" t="s">
        <v>362</v>
      </c>
      <c r="K45" s="138">
        <v>259</v>
      </c>
      <c r="L45" s="138">
        <v>0</v>
      </c>
      <c r="M45" s="138">
        <v>299.63</v>
      </c>
      <c r="N45" s="138">
        <v>0</v>
      </c>
      <c r="O45" s="138">
        <v>0</v>
      </c>
      <c r="P45" s="138">
        <v>0</v>
      </c>
      <c r="Q45" s="138">
        <v>0</v>
      </c>
      <c r="R45" s="138">
        <v>-40.67</v>
      </c>
      <c r="S45" s="138">
        <v>0</v>
      </c>
      <c r="T45" s="138">
        <v>0</v>
      </c>
      <c r="U45" s="138">
        <v>0</v>
      </c>
      <c r="V45" s="138">
        <v>0</v>
      </c>
      <c r="W45" s="138">
        <v>0</v>
      </c>
      <c r="X45" s="138">
        <f t="shared" si="0"/>
        <v>258.95999999999998</v>
      </c>
    </row>
    <row r="46" spans="1:25" x14ac:dyDescent="0.3">
      <c r="A46" s="132">
        <v>100</v>
      </c>
      <c r="B46" s="132">
        <v>4000</v>
      </c>
      <c r="C46" s="132">
        <v>7300</v>
      </c>
      <c r="D46" s="132">
        <v>250</v>
      </c>
      <c r="E46" s="133" t="s">
        <v>363</v>
      </c>
      <c r="K46" s="138">
        <v>494</v>
      </c>
      <c r="L46" s="138">
        <v>29.57</v>
      </c>
      <c r="M46" s="138">
        <v>20.14</v>
      </c>
      <c r="N46" s="138">
        <v>12.1</v>
      </c>
      <c r="O46" s="138">
        <v>14.78</v>
      </c>
      <c r="P46" s="138">
        <v>27.08</v>
      </c>
      <c r="Q46" s="138">
        <v>43.24</v>
      </c>
      <c r="R46" s="138">
        <v>82.53</v>
      </c>
      <c r="S46" s="138">
        <v>60.2</v>
      </c>
      <c r="T46" s="138">
        <v>51.16</v>
      </c>
      <c r="U46" s="138">
        <v>46.38</v>
      </c>
      <c r="V46" s="138">
        <v>14.44</v>
      </c>
      <c r="W46" s="138">
        <v>0</v>
      </c>
      <c r="X46" s="138">
        <f t="shared" si="0"/>
        <v>401.61999999999995</v>
      </c>
      <c r="Y46" s="138">
        <f>SUM(X22:X46)</f>
        <v>405287.76</v>
      </c>
    </row>
    <row r="47" spans="1:25" x14ac:dyDescent="0.3">
      <c r="A47" s="132"/>
      <c r="B47" s="132"/>
      <c r="C47" s="132"/>
      <c r="D47" s="132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>
        <f t="shared" si="0"/>
        <v>0</v>
      </c>
    </row>
    <row r="48" spans="1:25" x14ac:dyDescent="0.3">
      <c r="A48" s="132"/>
      <c r="B48" s="132"/>
      <c r="C48" s="132"/>
      <c r="D48" s="132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>
        <f t="shared" si="0"/>
        <v>0</v>
      </c>
    </row>
    <row r="49" spans="1:24" x14ac:dyDescent="0.3">
      <c r="A49" s="132">
        <v>100</v>
      </c>
      <c r="B49" s="132">
        <v>4000</v>
      </c>
      <c r="C49" s="132">
        <v>5200</v>
      </c>
      <c r="D49" s="132">
        <v>310</v>
      </c>
      <c r="E49" s="133" t="s">
        <v>148</v>
      </c>
      <c r="F49" s="133">
        <v>100</v>
      </c>
      <c r="G49" s="133">
        <v>4000</v>
      </c>
      <c r="H49" s="133">
        <v>5200</v>
      </c>
      <c r="I49" s="133">
        <v>310</v>
      </c>
      <c r="J49" s="133" t="s">
        <v>148</v>
      </c>
      <c r="K49" s="138">
        <v>31118</v>
      </c>
      <c r="L49" s="138">
        <v>200</v>
      </c>
      <c r="M49" s="138">
        <v>1974.47</v>
      </c>
      <c r="N49" s="138">
        <v>1465.41</v>
      </c>
      <c r="O49" s="138">
        <v>2901.74</v>
      </c>
      <c r="P49" s="138">
        <v>3586.7</v>
      </c>
      <c r="Q49" s="138">
        <v>4377.74</v>
      </c>
      <c r="R49" s="138">
        <v>2319.7399999999998</v>
      </c>
      <c r="S49" s="138">
        <v>2268.87</v>
      </c>
      <c r="T49" s="138">
        <v>4244</v>
      </c>
      <c r="U49" s="138">
        <v>10089.74</v>
      </c>
      <c r="V49" s="138">
        <v>2722</v>
      </c>
      <c r="W49" s="138">
        <v>1613.54</v>
      </c>
      <c r="X49" s="138">
        <f t="shared" si="0"/>
        <v>37763.949999999997</v>
      </c>
    </row>
    <row r="50" spans="1:24" x14ac:dyDescent="0.3">
      <c r="A50" s="132">
        <v>493</v>
      </c>
      <c r="B50" s="132">
        <v>4000</v>
      </c>
      <c r="C50" s="132">
        <v>5200</v>
      </c>
      <c r="D50" s="132">
        <v>310</v>
      </c>
      <c r="E50" s="133" t="s">
        <v>299</v>
      </c>
      <c r="F50" s="133">
        <v>493</v>
      </c>
      <c r="G50" s="133">
        <v>4000</v>
      </c>
      <c r="H50" s="133">
        <v>5200</v>
      </c>
      <c r="I50" s="133">
        <v>310</v>
      </c>
      <c r="J50" s="133" t="s">
        <v>299</v>
      </c>
      <c r="K50" s="138">
        <v>0</v>
      </c>
      <c r="L50" s="138">
        <v>0</v>
      </c>
      <c r="M50" s="138">
        <v>0</v>
      </c>
      <c r="N50" s="138">
        <v>0</v>
      </c>
      <c r="O50" s="138">
        <v>0</v>
      </c>
      <c r="P50" s="138">
        <v>0</v>
      </c>
      <c r="Q50" s="138">
        <v>0</v>
      </c>
      <c r="R50" s="138">
        <v>0</v>
      </c>
      <c r="S50" s="138">
        <v>0</v>
      </c>
      <c r="T50" s="138">
        <v>0</v>
      </c>
      <c r="U50" s="138">
        <v>0</v>
      </c>
      <c r="V50" s="138">
        <v>0</v>
      </c>
      <c r="W50" s="138">
        <v>0</v>
      </c>
      <c r="X50" s="138">
        <f t="shared" si="0"/>
        <v>0</v>
      </c>
    </row>
    <row r="51" spans="1:24" x14ac:dyDescent="0.3">
      <c r="A51" s="132">
        <v>100</v>
      </c>
      <c r="B51" s="132">
        <v>4000</v>
      </c>
      <c r="C51" s="132">
        <v>5200</v>
      </c>
      <c r="D51" s="132">
        <v>315</v>
      </c>
      <c r="E51" s="133" t="s">
        <v>296</v>
      </c>
      <c r="F51" s="133">
        <v>100</v>
      </c>
      <c r="G51" s="133">
        <v>4000</v>
      </c>
      <c r="H51" s="133">
        <v>5200</v>
      </c>
      <c r="I51" s="133">
        <v>315</v>
      </c>
      <c r="J51" s="133" t="s">
        <v>296</v>
      </c>
      <c r="K51" s="138">
        <v>271</v>
      </c>
      <c r="L51" s="138">
        <v>143</v>
      </c>
      <c r="M51" s="138">
        <v>60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8">
        <v>421.29</v>
      </c>
      <c r="X51" s="138">
        <f t="shared" si="0"/>
        <v>624.29</v>
      </c>
    </row>
    <row r="52" spans="1:24" x14ac:dyDescent="0.3">
      <c r="A52" s="132">
        <v>100</v>
      </c>
      <c r="B52" s="132">
        <v>4000</v>
      </c>
      <c r="C52" s="132">
        <v>5200</v>
      </c>
      <c r="D52" s="132">
        <v>330</v>
      </c>
      <c r="E52" s="133" t="s">
        <v>300</v>
      </c>
      <c r="F52" s="133">
        <v>100</v>
      </c>
      <c r="G52" s="133">
        <v>4000</v>
      </c>
      <c r="H52" s="133">
        <v>5200</v>
      </c>
      <c r="I52" s="133">
        <v>330</v>
      </c>
      <c r="J52" s="133" t="s">
        <v>300</v>
      </c>
      <c r="K52" s="138">
        <v>87248</v>
      </c>
      <c r="L52" s="138">
        <v>5404.5</v>
      </c>
      <c r="M52" s="138">
        <v>2435.4299999999998</v>
      </c>
      <c r="N52" s="138">
        <v>13704.62</v>
      </c>
      <c r="O52" s="138">
        <v>9071.56</v>
      </c>
      <c r="P52" s="138">
        <v>7527.43</v>
      </c>
      <c r="Q52" s="138">
        <v>17292.28</v>
      </c>
      <c r="R52" s="138">
        <v>1839.48</v>
      </c>
      <c r="S52" s="138">
        <v>1905.01</v>
      </c>
      <c r="T52" s="138">
        <v>6255.88</v>
      </c>
      <c r="U52" s="138">
        <v>6703.03</v>
      </c>
      <c r="V52" s="138">
        <v>5127.17</v>
      </c>
      <c r="W52" s="138">
        <v>9090.14</v>
      </c>
      <c r="X52" s="138">
        <f t="shared" si="0"/>
        <v>86356.53</v>
      </c>
    </row>
    <row r="53" spans="1:24" x14ac:dyDescent="0.3">
      <c r="A53" s="132">
        <v>493</v>
      </c>
      <c r="B53" s="132">
        <v>4000</v>
      </c>
      <c r="C53" s="132">
        <v>5200</v>
      </c>
      <c r="D53" s="132">
        <v>330</v>
      </c>
      <c r="E53" s="133" t="s">
        <v>371</v>
      </c>
      <c r="K53" s="138">
        <v>0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  <c r="T53" s="138">
        <v>0</v>
      </c>
      <c r="U53" s="138">
        <v>0</v>
      </c>
      <c r="V53" s="138">
        <v>0</v>
      </c>
      <c r="W53" s="138">
        <v>0</v>
      </c>
      <c r="X53" s="138">
        <f t="shared" si="0"/>
        <v>0</v>
      </c>
    </row>
    <row r="54" spans="1:24" x14ac:dyDescent="0.3">
      <c r="A54" s="132">
        <v>100</v>
      </c>
      <c r="B54" s="132">
        <v>4000</v>
      </c>
      <c r="C54" s="132">
        <v>5200</v>
      </c>
      <c r="D54" s="132">
        <v>390</v>
      </c>
      <c r="E54" s="133" t="s">
        <v>301</v>
      </c>
      <c r="F54" s="133">
        <v>100</v>
      </c>
      <c r="G54" s="133">
        <v>4000</v>
      </c>
      <c r="H54" s="133">
        <v>5200</v>
      </c>
      <c r="I54" s="133">
        <v>390</v>
      </c>
      <c r="J54" s="133" t="s">
        <v>301</v>
      </c>
      <c r="K54" s="138">
        <v>2119</v>
      </c>
      <c r="L54" s="138">
        <v>0</v>
      </c>
      <c r="M54" s="138">
        <v>0</v>
      </c>
      <c r="N54" s="138">
        <v>0</v>
      </c>
      <c r="O54" s="138">
        <v>0</v>
      </c>
      <c r="P54" s="138">
        <v>875.37</v>
      </c>
      <c r="Q54" s="138">
        <v>0</v>
      </c>
      <c r="R54" s="138">
        <v>0</v>
      </c>
      <c r="S54" s="138">
        <v>713.7</v>
      </c>
      <c r="T54" s="138">
        <v>0</v>
      </c>
      <c r="U54" s="138">
        <v>1769.25</v>
      </c>
      <c r="V54" s="138">
        <v>3296.88</v>
      </c>
      <c r="W54" s="138">
        <v>417.05</v>
      </c>
      <c r="X54" s="138">
        <f t="shared" si="0"/>
        <v>7072.2500000000009</v>
      </c>
    </row>
    <row r="55" spans="1:24" x14ac:dyDescent="0.3">
      <c r="A55" s="132">
        <v>100</v>
      </c>
      <c r="B55" s="132">
        <v>4000</v>
      </c>
      <c r="C55" s="132">
        <v>5200</v>
      </c>
      <c r="D55" s="132">
        <v>510</v>
      </c>
      <c r="E55" s="133" t="s">
        <v>302</v>
      </c>
      <c r="F55" s="133">
        <v>100</v>
      </c>
      <c r="G55" s="133">
        <v>4000</v>
      </c>
      <c r="H55" s="133">
        <v>5200</v>
      </c>
      <c r="I55" s="133">
        <v>510</v>
      </c>
      <c r="J55" s="133" t="s">
        <v>302</v>
      </c>
      <c r="K55" s="138">
        <v>35828</v>
      </c>
      <c r="L55" s="138">
        <v>403.69</v>
      </c>
      <c r="M55" s="138">
        <v>1981.93</v>
      </c>
      <c r="N55" s="138">
        <v>10544.42</v>
      </c>
      <c r="O55" s="138">
        <v>1305.6099999999999</v>
      </c>
      <c r="P55" s="138">
        <v>3699.49</v>
      </c>
      <c r="Q55" s="138">
        <v>2166.63</v>
      </c>
      <c r="R55" s="138">
        <v>2228.4299999999998</v>
      </c>
      <c r="S55" s="138">
        <v>2067.6799999999998</v>
      </c>
      <c r="T55" s="138">
        <v>2473.3200000000002</v>
      </c>
      <c r="U55" s="138">
        <v>880.15</v>
      </c>
      <c r="V55" s="138">
        <v>5410.36</v>
      </c>
      <c r="W55" s="138">
        <v>14962.3</v>
      </c>
      <c r="X55" s="138">
        <f t="shared" si="0"/>
        <v>48124.009999999995</v>
      </c>
    </row>
    <row r="56" spans="1:24" x14ac:dyDescent="0.3">
      <c r="A56" s="132">
        <v>493</v>
      </c>
      <c r="B56" s="132">
        <v>4000</v>
      </c>
      <c r="C56" s="132">
        <v>5200</v>
      </c>
      <c r="D56" s="132">
        <v>510</v>
      </c>
      <c r="E56" s="133" t="s">
        <v>372</v>
      </c>
      <c r="K56" s="138">
        <v>0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38">
        <v>0</v>
      </c>
      <c r="R56" s="138">
        <v>0</v>
      </c>
      <c r="S56" s="138">
        <v>0</v>
      </c>
      <c r="T56" s="138">
        <v>0</v>
      </c>
      <c r="U56" s="138">
        <v>0</v>
      </c>
      <c r="V56" s="138">
        <v>0</v>
      </c>
      <c r="W56" s="138">
        <v>0</v>
      </c>
      <c r="X56" s="138">
        <f t="shared" si="0"/>
        <v>0</v>
      </c>
    </row>
    <row r="57" spans="1:24" x14ac:dyDescent="0.3">
      <c r="A57" s="132">
        <v>100</v>
      </c>
      <c r="B57" s="132">
        <v>4000</v>
      </c>
      <c r="C57" s="132">
        <v>5200</v>
      </c>
      <c r="D57" s="132">
        <v>520</v>
      </c>
      <c r="E57" s="133" t="s">
        <v>303</v>
      </c>
      <c r="F57" s="133">
        <v>100</v>
      </c>
      <c r="G57" s="133">
        <v>4000</v>
      </c>
      <c r="H57" s="133">
        <v>5200</v>
      </c>
      <c r="I57" s="133">
        <v>520</v>
      </c>
      <c r="J57" s="133" t="s">
        <v>303</v>
      </c>
      <c r="K57" s="138">
        <v>744</v>
      </c>
      <c r="L57" s="138">
        <v>0</v>
      </c>
      <c r="M57" s="138">
        <v>464.8</v>
      </c>
      <c r="N57" s="138">
        <v>0</v>
      </c>
      <c r="O57" s="138">
        <v>0</v>
      </c>
      <c r="P57" s="138">
        <v>0</v>
      </c>
      <c r="Q57" s="138">
        <v>0</v>
      </c>
      <c r="R57" s="138">
        <v>92.86</v>
      </c>
      <c r="S57" s="138">
        <v>0</v>
      </c>
      <c r="T57" s="138">
        <v>0</v>
      </c>
      <c r="U57" s="138">
        <v>0</v>
      </c>
      <c r="V57" s="138">
        <v>0</v>
      </c>
      <c r="W57" s="138">
        <v>0</v>
      </c>
      <c r="X57" s="138">
        <f t="shared" si="0"/>
        <v>557.66</v>
      </c>
    </row>
    <row r="58" spans="1:24" x14ac:dyDescent="0.3">
      <c r="A58" s="132">
        <v>100</v>
      </c>
      <c r="B58" s="132">
        <v>4000</v>
      </c>
      <c r="C58" s="132">
        <v>5200</v>
      </c>
      <c r="D58" s="132">
        <v>640</v>
      </c>
      <c r="E58" s="133" t="s">
        <v>337</v>
      </c>
      <c r="K58" s="138">
        <v>1210</v>
      </c>
      <c r="L58" s="138">
        <v>0</v>
      </c>
      <c r="M58" s="138">
        <v>0</v>
      </c>
      <c r="N58" s="138">
        <v>0</v>
      </c>
      <c r="O58" s="138">
        <v>0</v>
      </c>
      <c r="P58" s="138">
        <v>0</v>
      </c>
      <c r="Q58" s="138">
        <v>0</v>
      </c>
      <c r="R58" s="138">
        <v>0</v>
      </c>
      <c r="S58" s="138">
        <v>0</v>
      </c>
      <c r="T58" s="138">
        <v>1210.02</v>
      </c>
      <c r="U58" s="138">
        <v>0</v>
      </c>
      <c r="V58" s="138">
        <v>0</v>
      </c>
      <c r="W58" s="138">
        <v>0</v>
      </c>
      <c r="X58" s="138">
        <f t="shared" si="0"/>
        <v>1210.02</v>
      </c>
    </row>
    <row r="59" spans="1:24" x14ac:dyDescent="0.3">
      <c r="A59" s="132">
        <v>100</v>
      </c>
      <c r="B59" s="132">
        <v>4000</v>
      </c>
      <c r="C59" s="132">
        <v>5200</v>
      </c>
      <c r="D59" s="132">
        <v>642</v>
      </c>
      <c r="E59" s="133" t="s">
        <v>338</v>
      </c>
      <c r="K59" s="138">
        <v>4502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S59" s="138">
        <v>0</v>
      </c>
      <c r="T59" s="138">
        <v>4502.09</v>
      </c>
      <c r="U59" s="138">
        <v>0</v>
      </c>
      <c r="V59" s="138">
        <v>0</v>
      </c>
      <c r="W59" s="138">
        <v>2723.76</v>
      </c>
      <c r="X59" s="138">
        <f t="shared" si="0"/>
        <v>7225.85</v>
      </c>
    </row>
    <row r="60" spans="1:24" x14ac:dyDescent="0.3">
      <c r="A60" s="132">
        <v>100</v>
      </c>
      <c r="B60" s="132">
        <v>4000</v>
      </c>
      <c r="C60" s="132">
        <v>5200</v>
      </c>
      <c r="D60" s="132">
        <v>690</v>
      </c>
      <c r="E60" s="133" t="s">
        <v>339</v>
      </c>
      <c r="K60" s="138">
        <v>80</v>
      </c>
      <c r="L60" s="138">
        <v>0</v>
      </c>
      <c r="M60" s="138">
        <v>0</v>
      </c>
      <c r="N60" s="138">
        <v>0</v>
      </c>
      <c r="O60" s="138">
        <v>0</v>
      </c>
      <c r="P60" s="138">
        <v>0</v>
      </c>
      <c r="Q60" s="138">
        <v>79.989999999999995</v>
      </c>
      <c r="R60" s="138">
        <v>0</v>
      </c>
      <c r="S60" s="138">
        <v>0</v>
      </c>
      <c r="T60" s="138">
        <v>0</v>
      </c>
      <c r="U60" s="138">
        <v>0</v>
      </c>
      <c r="V60" s="138">
        <v>150</v>
      </c>
      <c r="W60" s="138">
        <v>0</v>
      </c>
      <c r="X60" s="138">
        <f t="shared" si="0"/>
        <v>229.99</v>
      </c>
    </row>
    <row r="61" spans="1:24" x14ac:dyDescent="0.3">
      <c r="A61" s="132">
        <v>100</v>
      </c>
      <c r="B61" s="132">
        <v>4000</v>
      </c>
      <c r="C61" s="132">
        <v>5200</v>
      </c>
      <c r="D61" s="132">
        <v>750</v>
      </c>
      <c r="E61" s="133" t="s">
        <v>304</v>
      </c>
      <c r="F61" s="133">
        <v>100</v>
      </c>
      <c r="G61" s="133">
        <v>4000</v>
      </c>
      <c r="H61" s="133">
        <v>5200</v>
      </c>
      <c r="I61" s="133">
        <v>750</v>
      </c>
      <c r="J61" s="133" t="s">
        <v>304</v>
      </c>
      <c r="K61" s="138">
        <v>4411</v>
      </c>
      <c r="L61" s="138">
        <v>285.89999999999998</v>
      </c>
      <c r="M61" s="138">
        <v>0</v>
      </c>
      <c r="N61" s="138">
        <v>936</v>
      </c>
      <c r="O61" s="138">
        <v>1228.5</v>
      </c>
      <c r="P61" s="138">
        <v>858.2</v>
      </c>
      <c r="Q61" s="138">
        <v>0</v>
      </c>
      <c r="R61" s="138">
        <v>0</v>
      </c>
      <c r="S61" s="138">
        <v>0</v>
      </c>
      <c r="T61" s="138">
        <v>0</v>
      </c>
      <c r="U61" s="138">
        <v>2343.94</v>
      </c>
      <c r="V61" s="138">
        <v>3918.49</v>
      </c>
      <c r="W61" s="138">
        <v>2510.67</v>
      </c>
      <c r="X61" s="138">
        <f t="shared" si="0"/>
        <v>12081.7</v>
      </c>
    </row>
    <row r="62" spans="1:24" x14ac:dyDescent="0.3">
      <c r="A62" s="132">
        <v>100</v>
      </c>
      <c r="B62" s="132">
        <v>4000</v>
      </c>
      <c r="C62" s="132">
        <v>6300</v>
      </c>
      <c r="D62" s="132">
        <v>590</v>
      </c>
      <c r="E62" s="133" t="s">
        <v>340</v>
      </c>
      <c r="K62" s="138">
        <v>200</v>
      </c>
      <c r="L62" s="138">
        <v>0</v>
      </c>
      <c r="M62" s="138">
        <v>0</v>
      </c>
      <c r="N62" s="138">
        <v>0</v>
      </c>
      <c r="O62" s="138">
        <v>0</v>
      </c>
      <c r="P62" s="138">
        <v>0</v>
      </c>
      <c r="Q62" s="138">
        <v>0</v>
      </c>
      <c r="R62" s="138">
        <v>0</v>
      </c>
      <c r="S62" s="138">
        <v>0</v>
      </c>
      <c r="T62" s="138">
        <v>150</v>
      </c>
      <c r="U62" s="138">
        <v>0</v>
      </c>
      <c r="V62" s="138">
        <v>0</v>
      </c>
      <c r="W62" s="138">
        <v>0</v>
      </c>
      <c r="X62" s="138">
        <f t="shared" si="0"/>
        <v>150</v>
      </c>
    </row>
    <row r="63" spans="1:24" x14ac:dyDescent="0.3">
      <c r="A63" s="132">
        <v>100</v>
      </c>
      <c r="B63" s="132">
        <v>4000</v>
      </c>
      <c r="C63" s="132">
        <v>6400</v>
      </c>
      <c r="D63" s="132">
        <v>310</v>
      </c>
      <c r="E63" s="133" t="s">
        <v>305</v>
      </c>
      <c r="F63" s="133">
        <v>100</v>
      </c>
      <c r="G63" s="133">
        <v>4000</v>
      </c>
      <c r="H63" s="133">
        <v>6400</v>
      </c>
      <c r="I63" s="133">
        <v>310</v>
      </c>
      <c r="J63" s="133" t="s">
        <v>305</v>
      </c>
      <c r="K63" s="138">
        <v>299</v>
      </c>
      <c r="L63" s="138">
        <v>0</v>
      </c>
      <c r="M63" s="138">
        <v>0</v>
      </c>
      <c r="N63" s="138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224</v>
      </c>
      <c r="T63" s="138">
        <v>0</v>
      </c>
      <c r="U63" s="138">
        <v>750</v>
      </c>
      <c r="V63" s="138">
        <v>0</v>
      </c>
      <c r="W63" s="138">
        <v>0</v>
      </c>
      <c r="X63" s="138">
        <f t="shared" si="0"/>
        <v>974</v>
      </c>
    </row>
    <row r="64" spans="1:24" x14ac:dyDescent="0.3">
      <c r="A64" s="132">
        <v>100</v>
      </c>
      <c r="B64" s="132">
        <v>4000</v>
      </c>
      <c r="C64" s="132">
        <v>6500</v>
      </c>
      <c r="D64" s="132">
        <v>310</v>
      </c>
      <c r="E64" s="133" t="s">
        <v>306</v>
      </c>
      <c r="F64" s="133">
        <v>100</v>
      </c>
      <c r="G64" s="133">
        <v>4000</v>
      </c>
      <c r="H64" s="133">
        <v>6500</v>
      </c>
      <c r="I64" s="133">
        <v>310</v>
      </c>
      <c r="J64" s="133" t="s">
        <v>306</v>
      </c>
      <c r="K64" s="138">
        <v>184</v>
      </c>
      <c r="L64" s="138">
        <v>0</v>
      </c>
      <c r="M64" s="138">
        <v>0</v>
      </c>
      <c r="N64" s="138">
        <v>0</v>
      </c>
      <c r="O64" s="138">
        <v>0</v>
      </c>
      <c r="P64" s="138">
        <v>0</v>
      </c>
      <c r="Q64" s="138">
        <v>0</v>
      </c>
      <c r="R64" s="138">
        <v>0</v>
      </c>
      <c r="S64" s="138">
        <v>0</v>
      </c>
      <c r="T64" s="138">
        <v>138</v>
      </c>
      <c r="U64" s="138">
        <v>0</v>
      </c>
      <c r="V64" s="138">
        <v>0</v>
      </c>
      <c r="W64" s="138">
        <v>0</v>
      </c>
      <c r="X64" s="138">
        <f t="shared" si="0"/>
        <v>138</v>
      </c>
    </row>
    <row r="65" spans="1:24" x14ac:dyDescent="0.3">
      <c r="A65" s="132">
        <v>100</v>
      </c>
      <c r="B65" s="132">
        <v>4000</v>
      </c>
      <c r="C65" s="132">
        <v>7100</v>
      </c>
      <c r="D65" s="132">
        <v>310</v>
      </c>
      <c r="E65" s="133" t="s">
        <v>307</v>
      </c>
      <c r="F65" s="133">
        <v>100</v>
      </c>
      <c r="G65" s="133">
        <v>4000</v>
      </c>
      <c r="H65" s="133">
        <v>7100</v>
      </c>
      <c r="I65" s="133">
        <v>310</v>
      </c>
      <c r="J65" s="133" t="s">
        <v>307</v>
      </c>
      <c r="K65" s="138">
        <v>16000</v>
      </c>
      <c r="L65" s="138">
        <v>0</v>
      </c>
      <c r="M65" s="138">
        <v>0</v>
      </c>
      <c r="N65" s="138">
        <v>11500</v>
      </c>
      <c r="O65" s="138">
        <v>0</v>
      </c>
      <c r="P65" s="138">
        <v>500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  <c r="W65" s="138">
        <v>0</v>
      </c>
      <c r="X65" s="138">
        <f t="shared" si="0"/>
        <v>12000</v>
      </c>
    </row>
    <row r="66" spans="1:24" x14ac:dyDescent="0.3">
      <c r="A66" s="132">
        <v>100</v>
      </c>
      <c r="B66" s="132">
        <v>4000</v>
      </c>
      <c r="C66" s="132">
        <v>7100</v>
      </c>
      <c r="D66" s="132">
        <v>320</v>
      </c>
      <c r="E66" s="133" t="s">
        <v>308</v>
      </c>
      <c r="F66" s="133">
        <v>100</v>
      </c>
      <c r="G66" s="133">
        <v>4000</v>
      </c>
      <c r="H66" s="133">
        <v>7100</v>
      </c>
      <c r="I66" s="133">
        <v>320</v>
      </c>
      <c r="J66" s="133" t="s">
        <v>308</v>
      </c>
      <c r="K66" s="138">
        <v>9457</v>
      </c>
      <c r="L66" s="138">
        <v>2761.21</v>
      </c>
      <c r="M66" s="138">
        <v>521.16999999999996</v>
      </c>
      <c r="N66" s="138">
        <v>1029.1400000000001</v>
      </c>
      <c r="O66" s="138">
        <v>1029.17</v>
      </c>
      <c r="P66" s="138">
        <v>1029.17</v>
      </c>
      <c r="Q66" s="138">
        <v>1029.17</v>
      </c>
      <c r="R66" s="138">
        <v>1029.17</v>
      </c>
      <c r="S66" s="138">
        <v>0</v>
      </c>
      <c r="T66" s="138">
        <v>1029.17</v>
      </c>
      <c r="U66" s="138">
        <v>0</v>
      </c>
      <c r="V66" s="138">
        <v>2058.34</v>
      </c>
      <c r="W66" s="138">
        <v>1029.17</v>
      </c>
      <c r="X66" s="138">
        <f t="shared" si="0"/>
        <v>12544.880000000001</v>
      </c>
    </row>
    <row r="67" spans="1:24" x14ac:dyDescent="0.3">
      <c r="A67" s="132">
        <v>100</v>
      </c>
      <c r="B67" s="132">
        <v>4000</v>
      </c>
      <c r="C67" s="132">
        <v>7100</v>
      </c>
      <c r="D67" s="132">
        <v>330</v>
      </c>
      <c r="E67" s="133" t="s">
        <v>311</v>
      </c>
      <c r="K67" s="138">
        <v>0</v>
      </c>
      <c r="L67" s="138">
        <v>0</v>
      </c>
      <c r="M67" s="138">
        <v>0</v>
      </c>
      <c r="N67" s="138">
        <v>0</v>
      </c>
      <c r="O67" s="138">
        <v>0</v>
      </c>
      <c r="P67" s="138">
        <v>0</v>
      </c>
      <c r="Q67" s="138">
        <v>0</v>
      </c>
      <c r="R67" s="138">
        <v>0</v>
      </c>
      <c r="S67" s="138">
        <v>0</v>
      </c>
      <c r="T67" s="138">
        <v>0</v>
      </c>
      <c r="U67" s="138">
        <v>0</v>
      </c>
      <c r="V67" s="138">
        <v>0</v>
      </c>
      <c r="W67" s="138">
        <v>0</v>
      </c>
      <c r="X67" s="138">
        <f t="shared" si="0"/>
        <v>0</v>
      </c>
    </row>
    <row r="68" spans="1:24" x14ac:dyDescent="0.3">
      <c r="A68" s="132">
        <v>100</v>
      </c>
      <c r="B68" s="132">
        <v>4000</v>
      </c>
      <c r="C68" s="132">
        <v>7100</v>
      </c>
      <c r="D68" s="132">
        <v>730</v>
      </c>
      <c r="E68" s="133" t="s">
        <v>309</v>
      </c>
      <c r="F68" s="133">
        <v>100</v>
      </c>
      <c r="G68" s="133">
        <v>4000</v>
      </c>
      <c r="H68" s="133">
        <v>7100</v>
      </c>
      <c r="I68" s="133">
        <v>730</v>
      </c>
      <c r="J68" s="133" t="s">
        <v>309</v>
      </c>
      <c r="K68" s="138">
        <v>20887</v>
      </c>
      <c r="L68" s="138">
        <v>1114.33</v>
      </c>
      <c r="M68" s="138">
        <v>703.33</v>
      </c>
      <c r="N68" s="138">
        <v>947.33</v>
      </c>
      <c r="O68" s="138">
        <v>1555.33</v>
      </c>
      <c r="P68" s="138">
        <v>1063.33</v>
      </c>
      <c r="Q68" s="138">
        <v>673.33</v>
      </c>
      <c r="R68" s="138">
        <v>2583.83</v>
      </c>
      <c r="S68" s="138">
        <v>4859.58</v>
      </c>
      <c r="T68" s="138">
        <v>2164.89</v>
      </c>
      <c r="U68" s="138">
        <v>1014.98</v>
      </c>
      <c r="V68" s="138">
        <v>685.61</v>
      </c>
      <c r="W68" s="138">
        <v>908.48</v>
      </c>
      <c r="X68" s="138">
        <f t="shared" si="0"/>
        <v>18274.349999999999</v>
      </c>
    </row>
    <row r="69" spans="1:24" x14ac:dyDescent="0.3">
      <c r="A69" s="132">
        <v>100</v>
      </c>
      <c r="B69" s="132">
        <v>4000</v>
      </c>
      <c r="C69" s="132">
        <v>7100</v>
      </c>
      <c r="D69" s="132">
        <v>790</v>
      </c>
      <c r="E69" s="133" t="s">
        <v>152</v>
      </c>
      <c r="F69" s="133">
        <v>100</v>
      </c>
      <c r="G69" s="133">
        <v>4000</v>
      </c>
      <c r="H69" s="133">
        <v>7100</v>
      </c>
      <c r="I69" s="133">
        <v>790</v>
      </c>
      <c r="J69" s="133" t="s">
        <v>152</v>
      </c>
      <c r="K69" s="138">
        <v>11550</v>
      </c>
      <c r="L69" s="138">
        <v>1693.83</v>
      </c>
      <c r="M69" s="138">
        <v>3964.8</v>
      </c>
      <c r="N69" s="138">
        <v>2468.12</v>
      </c>
      <c r="O69" s="138">
        <v>2266.65</v>
      </c>
      <c r="P69" s="138">
        <v>2020.93</v>
      </c>
      <c r="Q69" s="138">
        <v>2472.25</v>
      </c>
      <c r="R69" s="138">
        <v>2821.05</v>
      </c>
      <c r="S69" s="138">
        <v>-10066.030000000001</v>
      </c>
      <c r="T69" s="138">
        <v>955.2</v>
      </c>
      <c r="U69" s="138">
        <v>1112.1600000000001</v>
      </c>
      <c r="V69" s="138">
        <v>970.89</v>
      </c>
      <c r="W69" s="138">
        <v>-810.85</v>
      </c>
      <c r="X69" s="138">
        <f t="shared" si="0"/>
        <v>9869</v>
      </c>
    </row>
    <row r="70" spans="1:24" x14ac:dyDescent="0.3">
      <c r="A70" s="132">
        <v>100</v>
      </c>
      <c r="B70" s="132">
        <v>4000</v>
      </c>
      <c r="C70" s="132">
        <v>7100</v>
      </c>
      <c r="D70" s="132">
        <v>795</v>
      </c>
      <c r="E70" s="133" t="s">
        <v>310</v>
      </c>
      <c r="F70" s="133">
        <v>100</v>
      </c>
      <c r="G70" s="133">
        <v>4000</v>
      </c>
      <c r="H70" s="133">
        <v>7100</v>
      </c>
      <c r="I70" s="133">
        <v>795</v>
      </c>
      <c r="J70" s="133" t="s">
        <v>310</v>
      </c>
      <c r="K70" s="138">
        <v>180</v>
      </c>
      <c r="L70" s="138">
        <v>15</v>
      </c>
      <c r="M70" s="138">
        <v>30</v>
      </c>
      <c r="N70" s="138">
        <v>0</v>
      </c>
      <c r="O70" s="138">
        <v>1765</v>
      </c>
      <c r="P70" s="138">
        <v>-1735</v>
      </c>
      <c r="Q70" s="138">
        <v>15</v>
      </c>
      <c r="R70" s="138">
        <v>15</v>
      </c>
      <c r="S70" s="138">
        <v>15</v>
      </c>
      <c r="T70" s="138">
        <v>15</v>
      </c>
      <c r="U70" s="138">
        <v>17</v>
      </c>
      <c r="V70" s="138">
        <v>122.5</v>
      </c>
      <c r="W70" s="138">
        <v>15</v>
      </c>
      <c r="X70" s="138">
        <f t="shared" ref="X70:X94" si="2">SUM(L70:W70)</f>
        <v>289.5</v>
      </c>
    </row>
    <row r="71" spans="1:24" x14ac:dyDescent="0.3">
      <c r="A71" s="132">
        <v>100</v>
      </c>
      <c r="B71" s="132">
        <v>4000</v>
      </c>
      <c r="C71" s="132">
        <v>7300</v>
      </c>
      <c r="D71" s="132">
        <v>310</v>
      </c>
      <c r="E71" s="133" t="s">
        <v>148</v>
      </c>
      <c r="K71" s="138">
        <v>0</v>
      </c>
      <c r="L71" s="138">
        <v>0</v>
      </c>
      <c r="M71" s="138">
        <v>0</v>
      </c>
      <c r="N71" s="138">
        <v>0</v>
      </c>
      <c r="O71" s="138">
        <v>0</v>
      </c>
      <c r="P71" s="138">
        <v>0</v>
      </c>
      <c r="Q71" s="138">
        <v>300</v>
      </c>
      <c r="R71" s="138">
        <v>0</v>
      </c>
      <c r="S71" s="138">
        <v>0</v>
      </c>
      <c r="T71" s="138">
        <v>0</v>
      </c>
      <c r="U71" s="138">
        <v>0</v>
      </c>
      <c r="V71" s="138">
        <v>0</v>
      </c>
      <c r="W71" s="138">
        <v>0</v>
      </c>
      <c r="X71" s="138">
        <f t="shared" si="2"/>
        <v>300</v>
      </c>
    </row>
    <row r="72" spans="1:24" x14ac:dyDescent="0.3">
      <c r="A72" s="132">
        <v>100</v>
      </c>
      <c r="B72" s="132">
        <v>4000</v>
      </c>
      <c r="C72" s="132">
        <v>7300</v>
      </c>
      <c r="D72" s="132">
        <v>330</v>
      </c>
      <c r="E72" s="133" t="s">
        <v>311</v>
      </c>
      <c r="F72" s="133">
        <v>100</v>
      </c>
      <c r="G72" s="133">
        <v>4000</v>
      </c>
      <c r="H72" s="133">
        <v>7300</v>
      </c>
      <c r="I72" s="133">
        <v>330</v>
      </c>
      <c r="J72" s="133" t="s">
        <v>311</v>
      </c>
      <c r="K72" s="138">
        <v>21851</v>
      </c>
      <c r="L72" s="138">
        <v>7800</v>
      </c>
      <c r="M72" s="138">
        <v>6592.62</v>
      </c>
      <c r="N72" s="138">
        <v>1094.8900000000001</v>
      </c>
      <c r="O72" s="138">
        <v>188.91</v>
      </c>
      <c r="P72" s="138">
        <v>-44.01</v>
      </c>
      <c r="Q72" s="138">
        <v>0</v>
      </c>
      <c r="R72" s="138">
        <v>0</v>
      </c>
      <c r="S72" s="138">
        <v>0</v>
      </c>
      <c r="T72" s="138">
        <v>756</v>
      </c>
      <c r="U72" s="138">
        <v>0</v>
      </c>
      <c r="V72" s="138">
        <v>0</v>
      </c>
      <c r="W72" s="138">
        <v>0</v>
      </c>
      <c r="X72" s="138">
        <f t="shared" si="2"/>
        <v>16388.409999999996</v>
      </c>
    </row>
    <row r="73" spans="1:24" x14ac:dyDescent="0.3">
      <c r="A73" s="132">
        <v>100</v>
      </c>
      <c r="B73" s="132">
        <v>4000</v>
      </c>
      <c r="C73" s="132">
        <v>7300</v>
      </c>
      <c r="D73" s="132">
        <v>370</v>
      </c>
      <c r="E73" s="133" t="s">
        <v>312</v>
      </c>
      <c r="F73" s="133">
        <v>100</v>
      </c>
      <c r="G73" s="133">
        <v>4000</v>
      </c>
      <c r="H73" s="133">
        <v>7300</v>
      </c>
      <c r="I73" s="133">
        <v>370</v>
      </c>
      <c r="J73" s="133" t="s">
        <v>312</v>
      </c>
      <c r="K73" s="138">
        <v>1397</v>
      </c>
      <c r="L73" s="138">
        <v>20.100000000000001</v>
      </c>
      <c r="M73" s="138">
        <v>89.75</v>
      </c>
      <c r="N73" s="138">
        <v>69.05</v>
      </c>
      <c r="O73" s="138">
        <v>183.33</v>
      </c>
      <c r="P73" s="138">
        <v>123.01</v>
      </c>
      <c r="Q73" s="138">
        <v>102.09</v>
      </c>
      <c r="R73" s="138">
        <v>70.290000000000006</v>
      </c>
      <c r="S73" s="138">
        <v>285.08999999999997</v>
      </c>
      <c r="T73" s="138">
        <v>105.22</v>
      </c>
      <c r="U73" s="138">
        <v>209.01</v>
      </c>
      <c r="V73" s="138">
        <v>20.13</v>
      </c>
      <c r="W73" s="138">
        <v>211.3</v>
      </c>
      <c r="X73" s="138">
        <f t="shared" si="2"/>
        <v>1488.3700000000001</v>
      </c>
    </row>
    <row r="74" spans="1:24" x14ac:dyDescent="0.3">
      <c r="A74" s="132">
        <v>100</v>
      </c>
      <c r="B74" s="132">
        <v>4000</v>
      </c>
      <c r="C74" s="132">
        <v>7300</v>
      </c>
      <c r="D74" s="132">
        <v>390</v>
      </c>
      <c r="E74" s="133" t="s">
        <v>313</v>
      </c>
      <c r="F74" s="133">
        <v>100</v>
      </c>
      <c r="G74" s="133">
        <v>4000</v>
      </c>
      <c r="H74" s="133">
        <v>7300</v>
      </c>
      <c r="I74" s="133">
        <v>390</v>
      </c>
      <c r="J74" s="133" t="s">
        <v>313</v>
      </c>
      <c r="K74" s="138">
        <v>1299</v>
      </c>
      <c r="L74" s="138">
        <v>0</v>
      </c>
      <c r="M74" s="138">
        <v>94.5</v>
      </c>
      <c r="N74" s="138">
        <v>0</v>
      </c>
      <c r="O74" s="138">
        <v>301.64999999999998</v>
      </c>
      <c r="P74" s="138">
        <v>189</v>
      </c>
      <c r="Q74" s="138">
        <v>0</v>
      </c>
      <c r="R74" s="138">
        <v>389</v>
      </c>
      <c r="S74" s="138">
        <v>0</v>
      </c>
      <c r="T74" s="138">
        <v>0</v>
      </c>
      <c r="U74" s="138">
        <v>0</v>
      </c>
      <c r="V74" s="138">
        <v>-522.45000000000005</v>
      </c>
      <c r="W74" s="138">
        <v>0</v>
      </c>
      <c r="X74" s="138">
        <f t="shared" si="2"/>
        <v>451.69999999999993</v>
      </c>
    </row>
    <row r="75" spans="1:24" x14ac:dyDescent="0.3">
      <c r="A75" s="132">
        <v>100</v>
      </c>
      <c r="B75" s="132">
        <v>4000</v>
      </c>
      <c r="C75" s="132">
        <v>7300</v>
      </c>
      <c r="D75" s="132">
        <v>510</v>
      </c>
      <c r="E75" s="133" t="s">
        <v>314</v>
      </c>
      <c r="F75" s="133">
        <v>100</v>
      </c>
      <c r="G75" s="133">
        <v>4000</v>
      </c>
      <c r="H75" s="133">
        <v>7300</v>
      </c>
      <c r="I75" s="133">
        <v>510</v>
      </c>
      <c r="J75" s="133" t="s">
        <v>314</v>
      </c>
      <c r="K75" s="138">
        <v>11672</v>
      </c>
      <c r="L75" s="138">
        <v>34.5</v>
      </c>
      <c r="M75" s="138">
        <v>503.11</v>
      </c>
      <c r="N75" s="138">
        <v>1495.49</v>
      </c>
      <c r="O75" s="138">
        <v>399.98</v>
      </c>
      <c r="P75" s="138">
        <v>180.76</v>
      </c>
      <c r="Q75" s="138">
        <v>5496.59</v>
      </c>
      <c r="R75" s="138">
        <v>253.35</v>
      </c>
      <c r="S75" s="138">
        <v>0</v>
      </c>
      <c r="T75" s="138">
        <v>390.58</v>
      </c>
      <c r="U75" s="138">
        <v>0</v>
      </c>
      <c r="V75" s="138">
        <v>453.62</v>
      </c>
      <c r="W75" s="138">
        <v>399.43</v>
      </c>
      <c r="X75" s="138">
        <f t="shared" si="2"/>
        <v>9607.4100000000017</v>
      </c>
    </row>
    <row r="76" spans="1:24" x14ac:dyDescent="0.3">
      <c r="A76" s="132">
        <v>100</v>
      </c>
      <c r="B76" s="132">
        <v>4000</v>
      </c>
      <c r="C76" s="132">
        <v>7400</v>
      </c>
      <c r="D76" s="132">
        <v>360</v>
      </c>
      <c r="E76" s="133" t="s">
        <v>315</v>
      </c>
      <c r="F76" s="133">
        <v>100</v>
      </c>
      <c r="G76" s="133">
        <v>4000</v>
      </c>
      <c r="H76" s="133">
        <v>7400</v>
      </c>
      <c r="I76" s="133">
        <v>360</v>
      </c>
      <c r="J76" s="133" t="s">
        <v>315</v>
      </c>
      <c r="K76" s="138">
        <v>22750</v>
      </c>
      <c r="L76" s="138">
        <v>1750</v>
      </c>
      <c r="M76" s="138">
        <v>1750</v>
      </c>
      <c r="N76" s="138">
        <v>1750</v>
      </c>
      <c r="O76" s="138">
        <v>1750</v>
      </c>
      <c r="P76" s="138">
        <v>3500</v>
      </c>
      <c r="Q76" s="138">
        <v>1750</v>
      </c>
      <c r="R76" s="138">
        <v>1750</v>
      </c>
      <c r="S76" s="138">
        <v>1750</v>
      </c>
      <c r="T76" s="138">
        <v>1750</v>
      </c>
      <c r="U76" s="138">
        <v>1750</v>
      </c>
      <c r="V76" s="138">
        <v>1750</v>
      </c>
      <c r="W76" s="138">
        <v>1750</v>
      </c>
      <c r="X76" s="138">
        <f t="shared" si="2"/>
        <v>22750</v>
      </c>
    </row>
    <row r="77" spans="1:24" x14ac:dyDescent="0.3">
      <c r="A77" s="132">
        <v>100</v>
      </c>
      <c r="B77" s="132">
        <v>4000</v>
      </c>
      <c r="C77" s="132">
        <v>7400</v>
      </c>
      <c r="D77" s="132">
        <v>630</v>
      </c>
      <c r="E77" s="133" t="s">
        <v>341</v>
      </c>
      <c r="K77" s="138">
        <v>5130</v>
      </c>
      <c r="L77" s="138">
        <v>0</v>
      </c>
      <c r="M77" s="138">
        <v>0</v>
      </c>
      <c r="N77" s="138">
        <v>0</v>
      </c>
      <c r="O77" s="138">
        <v>0</v>
      </c>
      <c r="P77" s="138">
        <v>0</v>
      </c>
      <c r="Q77" s="138">
        <v>0</v>
      </c>
      <c r="R77" s="138">
        <v>0</v>
      </c>
      <c r="S77" s="138">
        <v>0</v>
      </c>
      <c r="T77" s="138">
        <v>5130</v>
      </c>
      <c r="U77" s="138">
        <v>0</v>
      </c>
      <c r="V77" s="138">
        <v>0</v>
      </c>
      <c r="W77" s="138">
        <v>0</v>
      </c>
      <c r="X77" s="138">
        <f t="shared" si="2"/>
        <v>5130</v>
      </c>
    </row>
    <row r="78" spans="1:24" x14ac:dyDescent="0.3">
      <c r="A78" s="132">
        <v>100</v>
      </c>
      <c r="B78" s="132">
        <v>4000</v>
      </c>
      <c r="C78" s="132">
        <v>7500</v>
      </c>
      <c r="D78" s="132">
        <v>310</v>
      </c>
      <c r="E78" s="133" t="s">
        <v>316</v>
      </c>
      <c r="F78" s="133">
        <v>100</v>
      </c>
      <c r="G78" s="133">
        <v>4000</v>
      </c>
      <c r="H78" s="133">
        <v>7500</v>
      </c>
      <c r="I78" s="133">
        <v>310</v>
      </c>
      <c r="J78" s="133" t="s">
        <v>316</v>
      </c>
      <c r="K78" s="138">
        <v>23415</v>
      </c>
      <c r="L78" s="138">
        <v>258.95999999999998</v>
      </c>
      <c r="M78" s="138">
        <v>482.64</v>
      </c>
      <c r="N78" s="138">
        <v>3189.62</v>
      </c>
      <c r="O78" s="138">
        <v>870.75</v>
      </c>
      <c r="P78" s="138">
        <v>516.98</v>
      </c>
      <c r="Q78" s="138">
        <v>4128.66</v>
      </c>
      <c r="R78" s="138">
        <v>2259.42</v>
      </c>
      <c r="S78" s="138">
        <v>4453.41</v>
      </c>
      <c r="T78" s="138">
        <v>1865.19</v>
      </c>
      <c r="U78" s="138">
        <v>3404.58</v>
      </c>
      <c r="V78" s="138">
        <v>1065.3599999999999</v>
      </c>
      <c r="W78" s="138">
        <v>5601.13</v>
      </c>
      <c r="X78" s="138">
        <f t="shared" si="2"/>
        <v>28096.7</v>
      </c>
    </row>
    <row r="79" spans="1:24" x14ac:dyDescent="0.3">
      <c r="A79" s="132">
        <v>100</v>
      </c>
      <c r="B79" s="132">
        <v>4000</v>
      </c>
      <c r="C79" s="132">
        <v>7500</v>
      </c>
      <c r="D79" s="132">
        <v>311</v>
      </c>
      <c r="E79" s="133" t="s">
        <v>317</v>
      </c>
      <c r="F79" s="133">
        <v>100</v>
      </c>
      <c r="G79" s="133">
        <v>4000</v>
      </c>
      <c r="H79" s="133">
        <v>7500</v>
      </c>
      <c r="I79" s="133">
        <v>311</v>
      </c>
      <c r="J79" s="133" t="s">
        <v>317</v>
      </c>
      <c r="K79" s="138">
        <v>4321</v>
      </c>
      <c r="L79" s="138">
        <v>0</v>
      </c>
      <c r="M79" s="138">
        <v>0</v>
      </c>
      <c r="N79" s="138">
        <v>0</v>
      </c>
      <c r="O79" s="138">
        <v>869.56</v>
      </c>
      <c r="P79" s="138">
        <v>0</v>
      </c>
      <c r="Q79" s="138">
        <v>1290.79</v>
      </c>
      <c r="R79" s="138">
        <v>0</v>
      </c>
      <c r="S79" s="138">
        <v>0</v>
      </c>
      <c r="T79" s="138">
        <v>0</v>
      </c>
      <c r="U79" s="138">
        <v>1295.1199999999999</v>
      </c>
      <c r="V79" s="138">
        <v>0</v>
      </c>
      <c r="W79" s="138">
        <v>1592.47</v>
      </c>
      <c r="X79" s="138">
        <f t="shared" si="2"/>
        <v>5047.9399999999996</v>
      </c>
    </row>
    <row r="80" spans="1:24" x14ac:dyDescent="0.3">
      <c r="A80" s="132">
        <v>100</v>
      </c>
      <c r="B80" s="132">
        <v>4000</v>
      </c>
      <c r="C80" s="132">
        <v>7800</v>
      </c>
      <c r="D80" s="132">
        <v>320</v>
      </c>
      <c r="E80" s="133" t="s">
        <v>342</v>
      </c>
      <c r="K80" s="138">
        <v>0</v>
      </c>
      <c r="L80" s="138">
        <v>0</v>
      </c>
      <c r="M80" s="138">
        <v>0</v>
      </c>
      <c r="N80" s="138">
        <v>0</v>
      </c>
      <c r="O80" s="138">
        <v>0</v>
      </c>
      <c r="P80" s="138">
        <v>0</v>
      </c>
      <c r="Q80" s="138">
        <v>0</v>
      </c>
      <c r="R80" s="138">
        <v>0</v>
      </c>
      <c r="S80" s="138">
        <v>0</v>
      </c>
      <c r="T80" s="138">
        <v>0</v>
      </c>
      <c r="U80" s="138">
        <v>0</v>
      </c>
      <c r="V80" s="138">
        <v>1524.09</v>
      </c>
      <c r="W80" s="138">
        <v>0</v>
      </c>
      <c r="X80" s="138">
        <f t="shared" si="2"/>
        <v>1524.09</v>
      </c>
    </row>
    <row r="81" spans="1:25" x14ac:dyDescent="0.3">
      <c r="A81" s="132">
        <v>100</v>
      </c>
      <c r="B81" s="132">
        <v>4000</v>
      </c>
      <c r="C81" s="132">
        <v>7800</v>
      </c>
      <c r="D81" s="132">
        <v>350</v>
      </c>
      <c r="E81" s="133" t="s">
        <v>318</v>
      </c>
      <c r="F81" s="133">
        <v>100</v>
      </c>
      <c r="G81" s="133">
        <v>4000</v>
      </c>
      <c r="H81" s="133">
        <v>7800</v>
      </c>
      <c r="I81" s="133">
        <v>350</v>
      </c>
      <c r="J81" s="133" t="s">
        <v>318</v>
      </c>
      <c r="K81" s="138">
        <v>37923</v>
      </c>
      <c r="L81" s="138">
        <v>0</v>
      </c>
      <c r="M81" s="138">
        <v>1855</v>
      </c>
      <c r="N81" s="138">
        <v>2590</v>
      </c>
      <c r="O81" s="138">
        <v>3761</v>
      </c>
      <c r="P81" s="138">
        <v>0</v>
      </c>
      <c r="Q81" s="138">
        <v>3739</v>
      </c>
      <c r="R81" s="138">
        <v>1480</v>
      </c>
      <c r="S81" s="138">
        <v>2527</v>
      </c>
      <c r="T81" s="138">
        <v>12490.5</v>
      </c>
      <c r="U81" s="138">
        <v>14514.5</v>
      </c>
      <c r="V81" s="138">
        <v>4610</v>
      </c>
      <c r="W81" s="138">
        <v>4933.5</v>
      </c>
      <c r="X81" s="138">
        <f t="shared" si="2"/>
        <v>52500.5</v>
      </c>
    </row>
    <row r="82" spans="1:25" x14ac:dyDescent="0.3">
      <c r="A82" s="132">
        <v>493</v>
      </c>
      <c r="B82" s="132">
        <v>4000</v>
      </c>
      <c r="C82" s="132">
        <v>7800</v>
      </c>
      <c r="D82" s="132">
        <v>350</v>
      </c>
      <c r="E82" s="133" t="s">
        <v>319</v>
      </c>
      <c r="F82" s="133">
        <v>493</v>
      </c>
      <c r="G82" s="133">
        <v>4000</v>
      </c>
      <c r="H82" s="133">
        <v>7800</v>
      </c>
      <c r="I82" s="133">
        <v>350</v>
      </c>
      <c r="J82" s="133" t="s">
        <v>319</v>
      </c>
      <c r="K82" s="138">
        <v>0</v>
      </c>
      <c r="L82" s="138">
        <v>0</v>
      </c>
      <c r="M82" s="138">
        <v>0</v>
      </c>
      <c r="N82" s="138">
        <v>0</v>
      </c>
      <c r="O82" s="138">
        <v>0</v>
      </c>
      <c r="P82" s="138">
        <v>0</v>
      </c>
      <c r="Q82" s="138">
        <v>0</v>
      </c>
      <c r="R82" s="138">
        <v>0</v>
      </c>
      <c r="S82" s="138">
        <v>0</v>
      </c>
      <c r="T82" s="138">
        <v>0</v>
      </c>
      <c r="U82" s="138">
        <v>0</v>
      </c>
      <c r="V82" s="138">
        <v>0</v>
      </c>
      <c r="W82" s="138">
        <v>0</v>
      </c>
      <c r="X82" s="138">
        <f t="shared" si="2"/>
        <v>0</v>
      </c>
    </row>
    <row r="83" spans="1:25" x14ac:dyDescent="0.3">
      <c r="A83" s="132">
        <v>100</v>
      </c>
      <c r="B83" s="132">
        <v>4000</v>
      </c>
      <c r="C83" s="132">
        <v>7800</v>
      </c>
      <c r="D83" s="132">
        <v>550</v>
      </c>
      <c r="E83" s="133" t="s">
        <v>320</v>
      </c>
      <c r="F83" s="133">
        <v>100</v>
      </c>
      <c r="G83" s="133">
        <v>4000</v>
      </c>
      <c r="H83" s="133">
        <v>7800</v>
      </c>
      <c r="I83" s="133">
        <v>550</v>
      </c>
      <c r="J83" s="133" t="s">
        <v>320</v>
      </c>
      <c r="K83" s="138">
        <v>99</v>
      </c>
      <c r="L83" s="138">
        <v>0</v>
      </c>
      <c r="M83" s="138">
        <v>0</v>
      </c>
      <c r="N83" s="138">
        <v>0</v>
      </c>
      <c r="O83" s="138">
        <v>0</v>
      </c>
      <c r="P83" s="138">
        <v>0</v>
      </c>
      <c r="Q83" s="138">
        <v>0</v>
      </c>
      <c r="R83" s="138">
        <v>0</v>
      </c>
      <c r="S83" s="138">
        <v>0</v>
      </c>
      <c r="T83" s="138">
        <v>74.459999999999994</v>
      </c>
      <c r="U83" s="138">
        <v>0</v>
      </c>
      <c r="V83" s="138">
        <v>0</v>
      </c>
      <c r="W83" s="138">
        <v>0</v>
      </c>
      <c r="X83" s="138">
        <f t="shared" si="2"/>
        <v>74.459999999999994</v>
      </c>
    </row>
    <row r="84" spans="1:25" x14ac:dyDescent="0.3">
      <c r="A84" s="132">
        <v>100</v>
      </c>
      <c r="B84" s="132">
        <v>4000</v>
      </c>
      <c r="C84" s="132">
        <v>7800</v>
      </c>
      <c r="D84" s="132">
        <v>640</v>
      </c>
      <c r="E84" s="133" t="s">
        <v>373</v>
      </c>
      <c r="K84" s="138">
        <v>0</v>
      </c>
      <c r="L84" s="138">
        <v>0</v>
      </c>
      <c r="M84" s="138">
        <v>0</v>
      </c>
      <c r="N84" s="138">
        <v>0</v>
      </c>
      <c r="O84" s="138">
        <v>0</v>
      </c>
      <c r="P84" s="138">
        <v>0</v>
      </c>
      <c r="Q84" s="138">
        <v>0</v>
      </c>
      <c r="R84" s="138">
        <v>0</v>
      </c>
      <c r="S84" s="138">
        <v>0</v>
      </c>
      <c r="T84" s="138">
        <v>0</v>
      </c>
      <c r="U84" s="138">
        <v>0</v>
      </c>
      <c r="V84" s="138">
        <v>0</v>
      </c>
      <c r="W84" s="138">
        <v>0</v>
      </c>
      <c r="X84" s="138">
        <f t="shared" si="2"/>
        <v>0</v>
      </c>
    </row>
    <row r="85" spans="1:25" x14ac:dyDescent="0.3">
      <c r="A85" s="132">
        <v>100</v>
      </c>
      <c r="B85" s="132">
        <v>4000</v>
      </c>
      <c r="C85" s="132">
        <v>7900</v>
      </c>
      <c r="D85" s="132">
        <v>320</v>
      </c>
      <c r="E85" s="133" t="s">
        <v>321</v>
      </c>
      <c r="F85" s="133">
        <v>100</v>
      </c>
      <c r="G85" s="133">
        <v>4000</v>
      </c>
      <c r="H85" s="133">
        <v>7900</v>
      </c>
      <c r="I85" s="133">
        <v>320</v>
      </c>
      <c r="J85" s="133" t="s">
        <v>321</v>
      </c>
      <c r="K85" s="138">
        <v>1538</v>
      </c>
      <c r="L85" s="138">
        <v>0</v>
      </c>
      <c r="M85" s="138">
        <v>0</v>
      </c>
      <c r="N85" s="138">
        <v>1537.73</v>
      </c>
      <c r="O85" s="138">
        <v>0</v>
      </c>
      <c r="P85" s="138">
        <v>0</v>
      </c>
      <c r="Q85" s="138">
        <v>0</v>
      </c>
      <c r="R85" s="138">
        <v>0</v>
      </c>
      <c r="S85" s="138">
        <v>0</v>
      </c>
      <c r="T85" s="138">
        <v>0</v>
      </c>
      <c r="U85" s="138">
        <v>0</v>
      </c>
      <c r="V85" s="138">
        <v>0</v>
      </c>
      <c r="W85" s="138">
        <v>0</v>
      </c>
      <c r="X85" s="138">
        <f>SUM(L85:W85)</f>
        <v>1537.73</v>
      </c>
    </row>
    <row r="86" spans="1:25" x14ac:dyDescent="0.3">
      <c r="A86" s="132">
        <v>100</v>
      </c>
      <c r="B86" s="132">
        <v>4000</v>
      </c>
      <c r="C86" s="132">
        <v>7900</v>
      </c>
      <c r="D86" s="132">
        <v>360</v>
      </c>
      <c r="E86" s="133" t="s">
        <v>322</v>
      </c>
      <c r="F86" s="133">
        <v>100</v>
      </c>
      <c r="G86" s="133">
        <v>4000</v>
      </c>
      <c r="H86" s="133">
        <v>7900</v>
      </c>
      <c r="I86" s="133">
        <v>360</v>
      </c>
      <c r="J86" s="133" t="s">
        <v>322</v>
      </c>
      <c r="K86" s="138">
        <v>1440</v>
      </c>
      <c r="L86" s="138">
        <v>0</v>
      </c>
      <c r="M86" s="138">
        <v>0</v>
      </c>
      <c r="N86" s="138">
        <v>360</v>
      </c>
      <c r="O86" s="138">
        <v>0</v>
      </c>
      <c r="P86" s="138">
        <v>0</v>
      </c>
      <c r="Q86" s="138">
        <v>120</v>
      </c>
      <c r="R86" s="138">
        <v>360</v>
      </c>
      <c r="S86" s="138">
        <v>240</v>
      </c>
      <c r="T86" s="138">
        <v>0</v>
      </c>
      <c r="U86" s="138">
        <v>240</v>
      </c>
      <c r="V86" s="138">
        <v>0</v>
      </c>
      <c r="W86" s="138">
        <v>240</v>
      </c>
      <c r="X86" s="138">
        <f t="shared" si="2"/>
        <v>1560</v>
      </c>
    </row>
    <row r="87" spans="1:25" x14ac:dyDescent="0.3">
      <c r="A87" s="132">
        <v>100</v>
      </c>
      <c r="B87" s="132">
        <v>4000</v>
      </c>
      <c r="C87" s="132">
        <v>7900</v>
      </c>
      <c r="D87" s="132">
        <v>370</v>
      </c>
      <c r="E87" s="133" t="s">
        <v>323</v>
      </c>
      <c r="F87" s="133">
        <v>100</v>
      </c>
      <c r="G87" s="133">
        <v>4000</v>
      </c>
      <c r="H87" s="133">
        <v>7900</v>
      </c>
      <c r="I87" s="133">
        <v>370</v>
      </c>
      <c r="J87" s="133" t="s">
        <v>323</v>
      </c>
      <c r="K87" s="138">
        <v>2778</v>
      </c>
      <c r="L87" s="138">
        <v>177.45</v>
      </c>
      <c r="M87" s="138">
        <v>177.72</v>
      </c>
      <c r="N87" s="138">
        <v>179.5</v>
      </c>
      <c r="O87" s="138">
        <v>369.08</v>
      </c>
      <c r="P87" s="138">
        <v>398.41</v>
      </c>
      <c r="Q87" s="138">
        <v>181.23</v>
      </c>
      <c r="R87" s="138">
        <v>179.65</v>
      </c>
      <c r="S87" s="138">
        <v>183.88</v>
      </c>
      <c r="T87" s="138">
        <v>236.47</v>
      </c>
      <c r="U87" s="138">
        <v>370.32</v>
      </c>
      <c r="V87" s="138">
        <v>389.72</v>
      </c>
      <c r="W87" s="138">
        <v>182.57</v>
      </c>
      <c r="X87" s="138">
        <f t="shared" si="2"/>
        <v>3026.0000000000005</v>
      </c>
    </row>
    <row r="88" spans="1:25" x14ac:dyDescent="0.3">
      <c r="A88" s="132">
        <v>100</v>
      </c>
      <c r="B88" s="132">
        <v>4000</v>
      </c>
      <c r="C88" s="132">
        <v>7900</v>
      </c>
      <c r="D88" s="132">
        <v>380</v>
      </c>
      <c r="E88" s="133" t="s">
        <v>324</v>
      </c>
      <c r="F88" s="133">
        <v>100</v>
      </c>
      <c r="G88" s="133">
        <v>4000</v>
      </c>
      <c r="H88" s="133">
        <v>7900</v>
      </c>
      <c r="I88" s="133">
        <v>380</v>
      </c>
      <c r="J88" s="133" t="s">
        <v>324</v>
      </c>
      <c r="K88" s="138">
        <v>2523</v>
      </c>
      <c r="L88" s="138">
        <v>196.74</v>
      </c>
      <c r="M88" s="138">
        <v>0</v>
      </c>
      <c r="N88" s="138">
        <v>452.68</v>
      </c>
      <c r="O88" s="138">
        <v>0</v>
      </c>
      <c r="P88" s="138">
        <v>550.26</v>
      </c>
      <c r="Q88" s="138">
        <v>387.54</v>
      </c>
      <c r="R88" s="138">
        <v>0</v>
      </c>
      <c r="S88" s="138">
        <v>165.72</v>
      </c>
      <c r="T88" s="138">
        <v>139.16999999999999</v>
      </c>
      <c r="U88" s="138">
        <v>369.5</v>
      </c>
      <c r="V88" s="138">
        <v>340.28</v>
      </c>
      <c r="W88" s="138">
        <v>0</v>
      </c>
      <c r="X88" s="138">
        <f t="shared" si="2"/>
        <v>2601.8900000000003</v>
      </c>
    </row>
    <row r="89" spans="1:25" x14ac:dyDescent="0.3">
      <c r="A89" s="132">
        <v>100</v>
      </c>
      <c r="B89" s="132">
        <v>4000</v>
      </c>
      <c r="C89" s="132">
        <v>7900</v>
      </c>
      <c r="D89" s="132">
        <v>390</v>
      </c>
      <c r="E89" s="133" t="s">
        <v>325</v>
      </c>
      <c r="F89" s="133">
        <v>100</v>
      </c>
      <c r="G89" s="133">
        <v>4000</v>
      </c>
      <c r="H89" s="133">
        <v>7900</v>
      </c>
      <c r="I89" s="133">
        <v>390</v>
      </c>
      <c r="J89" s="133" t="s">
        <v>325</v>
      </c>
      <c r="K89" s="138">
        <v>746</v>
      </c>
      <c r="L89" s="138">
        <v>0</v>
      </c>
      <c r="M89" s="138">
        <v>0</v>
      </c>
      <c r="N89" s="138">
        <v>196.47</v>
      </c>
      <c r="O89" s="138">
        <v>53.64</v>
      </c>
      <c r="P89" s="138">
        <v>24</v>
      </c>
      <c r="Q89" s="138">
        <v>0</v>
      </c>
      <c r="R89" s="138">
        <v>92</v>
      </c>
      <c r="S89" s="138">
        <v>147.69999999999999</v>
      </c>
      <c r="T89" s="138">
        <v>46</v>
      </c>
      <c r="U89" s="138">
        <v>0</v>
      </c>
      <c r="V89" s="138">
        <v>0</v>
      </c>
      <c r="W89" s="138">
        <v>0</v>
      </c>
      <c r="X89" s="138">
        <f t="shared" si="2"/>
        <v>559.80999999999995</v>
      </c>
    </row>
    <row r="90" spans="1:25" x14ac:dyDescent="0.3">
      <c r="A90" s="132">
        <v>100</v>
      </c>
      <c r="B90" s="132">
        <v>4000</v>
      </c>
      <c r="C90" s="132">
        <v>7900</v>
      </c>
      <c r="D90" s="132">
        <v>430</v>
      </c>
      <c r="E90" s="133" t="s">
        <v>326</v>
      </c>
      <c r="F90" s="133">
        <v>100</v>
      </c>
      <c r="G90" s="133">
        <v>4000</v>
      </c>
      <c r="H90" s="133">
        <v>7900</v>
      </c>
      <c r="I90" s="133">
        <v>430</v>
      </c>
      <c r="J90" s="133" t="s">
        <v>326</v>
      </c>
      <c r="K90" s="138">
        <v>7010</v>
      </c>
      <c r="L90" s="138">
        <v>444.97</v>
      </c>
      <c r="M90" s="138">
        <v>523.62</v>
      </c>
      <c r="N90" s="138">
        <v>479.65</v>
      </c>
      <c r="O90" s="138">
        <v>663.68</v>
      </c>
      <c r="P90" s="138">
        <v>418.59</v>
      </c>
      <c r="Q90" s="138">
        <v>613.95000000000005</v>
      </c>
      <c r="R90" s="138">
        <v>655.03</v>
      </c>
      <c r="S90" s="138">
        <v>702.52</v>
      </c>
      <c r="T90" s="138">
        <v>755.14</v>
      </c>
      <c r="U90" s="138">
        <v>439.88</v>
      </c>
      <c r="V90" s="138">
        <v>342.43</v>
      </c>
      <c r="W90" s="138">
        <v>1039.0999999999999</v>
      </c>
      <c r="X90" s="138">
        <f t="shared" si="2"/>
        <v>7078.5600000000013</v>
      </c>
    </row>
    <row r="91" spans="1:25" x14ac:dyDescent="0.3">
      <c r="A91" s="132">
        <v>100</v>
      </c>
      <c r="B91" s="132">
        <v>4000</v>
      </c>
      <c r="C91" s="132">
        <v>7900</v>
      </c>
      <c r="D91" s="132">
        <v>510</v>
      </c>
      <c r="E91" s="133" t="s">
        <v>327</v>
      </c>
      <c r="F91" s="133">
        <v>100</v>
      </c>
      <c r="G91" s="133">
        <v>4000</v>
      </c>
      <c r="H91" s="133">
        <v>7900</v>
      </c>
      <c r="I91" s="133">
        <v>510</v>
      </c>
      <c r="J91" s="133" t="s">
        <v>327</v>
      </c>
      <c r="K91" s="138">
        <v>2608</v>
      </c>
      <c r="L91" s="138">
        <v>0</v>
      </c>
      <c r="M91" s="138">
        <v>0</v>
      </c>
      <c r="N91" s="138">
        <v>701.57</v>
      </c>
      <c r="O91" s="138">
        <v>211.54</v>
      </c>
      <c r="P91" s="138">
        <v>162.52000000000001</v>
      </c>
      <c r="Q91" s="138">
        <v>366.17</v>
      </c>
      <c r="R91" s="138">
        <v>59.04</v>
      </c>
      <c r="S91" s="138">
        <v>103.48</v>
      </c>
      <c r="T91" s="138">
        <v>351.32</v>
      </c>
      <c r="U91" s="138">
        <v>157.86000000000001</v>
      </c>
      <c r="V91" s="138">
        <v>240.8</v>
      </c>
      <c r="W91" s="138">
        <v>74.3</v>
      </c>
      <c r="X91" s="138">
        <f t="shared" si="2"/>
        <v>2428.6000000000004</v>
      </c>
    </row>
    <row r="92" spans="1:25" x14ac:dyDescent="0.3">
      <c r="A92" s="132">
        <v>100</v>
      </c>
      <c r="B92" s="132">
        <v>4000</v>
      </c>
      <c r="C92" s="132">
        <v>7900</v>
      </c>
      <c r="D92" s="132">
        <v>640</v>
      </c>
      <c r="E92" s="133" t="s">
        <v>343</v>
      </c>
      <c r="K92" s="138">
        <v>2730</v>
      </c>
      <c r="L92" s="138">
        <v>0</v>
      </c>
      <c r="M92" s="138">
        <v>0</v>
      </c>
      <c r="N92" s="138">
        <v>0</v>
      </c>
      <c r="O92" s="138">
        <v>53.77</v>
      </c>
      <c r="P92" s="138">
        <v>0</v>
      </c>
      <c r="Q92" s="138">
        <v>0</v>
      </c>
      <c r="R92" s="138">
        <v>0</v>
      </c>
      <c r="S92" s="138">
        <v>2676.48</v>
      </c>
      <c r="T92" s="138">
        <v>0</v>
      </c>
      <c r="U92" s="138">
        <v>0</v>
      </c>
      <c r="V92" s="138">
        <v>0</v>
      </c>
      <c r="W92" s="138">
        <v>0</v>
      </c>
      <c r="X92" s="138">
        <f t="shared" si="2"/>
        <v>2730.25</v>
      </c>
    </row>
    <row r="93" spans="1:25" x14ac:dyDescent="0.3">
      <c r="A93" s="132">
        <v>100</v>
      </c>
      <c r="B93" s="132">
        <v>4000</v>
      </c>
      <c r="C93" s="132">
        <v>8100</v>
      </c>
      <c r="D93" s="132">
        <v>350</v>
      </c>
      <c r="E93" s="133" t="s">
        <v>328</v>
      </c>
      <c r="F93" s="133">
        <v>100</v>
      </c>
      <c r="G93" s="133">
        <v>4000</v>
      </c>
      <c r="H93" s="133">
        <v>8100</v>
      </c>
      <c r="I93" s="133">
        <v>350</v>
      </c>
      <c r="J93" s="133" t="s">
        <v>328</v>
      </c>
      <c r="K93" s="138">
        <v>10199</v>
      </c>
      <c r="L93" s="138">
        <v>200.71</v>
      </c>
      <c r="M93" s="138">
        <v>2735.1</v>
      </c>
      <c r="N93" s="138">
        <v>1815.05</v>
      </c>
      <c r="O93" s="138">
        <v>723.31</v>
      </c>
      <c r="P93" s="138">
        <v>760.91</v>
      </c>
      <c r="Q93" s="138">
        <v>638.32000000000005</v>
      </c>
      <c r="R93" s="138">
        <v>0</v>
      </c>
      <c r="S93" s="138">
        <v>0</v>
      </c>
      <c r="T93" s="138">
        <v>775.68</v>
      </c>
      <c r="U93" s="138">
        <v>249.49</v>
      </c>
      <c r="V93" s="138">
        <v>310.89999999999998</v>
      </c>
      <c r="W93" s="138">
        <v>3492.16</v>
      </c>
      <c r="X93" s="138">
        <f t="shared" si="2"/>
        <v>11701.63</v>
      </c>
    </row>
    <row r="94" spans="1:25" x14ac:dyDescent="0.3">
      <c r="A94" s="132">
        <v>100</v>
      </c>
      <c r="B94" s="132">
        <v>4000</v>
      </c>
      <c r="C94" s="132">
        <v>9100</v>
      </c>
      <c r="D94" s="132">
        <v>705</v>
      </c>
      <c r="E94" s="133" t="s">
        <v>297</v>
      </c>
      <c r="F94" s="133">
        <v>100</v>
      </c>
      <c r="G94" s="133">
        <v>4000</v>
      </c>
      <c r="H94" s="133">
        <v>9100</v>
      </c>
      <c r="I94" s="133">
        <v>705</v>
      </c>
      <c r="J94" s="133" t="s">
        <v>297</v>
      </c>
      <c r="K94" s="138">
        <v>13952</v>
      </c>
      <c r="L94" s="138">
        <v>0</v>
      </c>
      <c r="M94" s="138">
        <v>3697.5</v>
      </c>
      <c r="N94" s="138">
        <v>0</v>
      </c>
      <c r="O94" s="138">
        <v>-41</v>
      </c>
      <c r="P94" s="138">
        <v>0</v>
      </c>
      <c r="Q94" s="138">
        <v>1357.47</v>
      </c>
      <c r="R94" s="138">
        <v>300</v>
      </c>
      <c r="S94" s="138">
        <v>0</v>
      </c>
      <c r="T94" s="138">
        <v>5150</v>
      </c>
      <c r="U94" s="138">
        <v>250</v>
      </c>
      <c r="V94" s="138">
        <v>0</v>
      </c>
      <c r="W94" s="138">
        <v>180</v>
      </c>
      <c r="X94" s="138">
        <f t="shared" si="2"/>
        <v>10893.970000000001</v>
      </c>
      <c r="Y94" s="138">
        <f>SUM(X49:X96)</f>
        <v>442964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opLeftCell="A4" zoomScaleNormal="100" workbookViewId="0">
      <selection activeCell="H25" sqref="H25"/>
    </sheetView>
  </sheetViews>
  <sheetFormatPr defaultColWidth="9.109375" defaultRowHeight="15" x14ac:dyDescent="0.25"/>
  <cols>
    <col min="1" max="1" width="22.5546875" style="143" customWidth="1"/>
    <col min="2" max="2" width="23.33203125" style="143" bestFit="1" customWidth="1"/>
    <col min="3" max="8" width="9.33203125" style="143" bestFit="1" customWidth="1"/>
    <col min="9" max="16384" width="9.109375" style="143"/>
  </cols>
  <sheetData>
    <row r="1" spans="1:11" ht="15.6" x14ac:dyDescent="0.3">
      <c r="A1" s="142" t="s">
        <v>381</v>
      </c>
    </row>
    <row r="2" spans="1:11" ht="15.6" x14ac:dyDescent="0.3">
      <c r="A2" s="142" t="s">
        <v>382</v>
      </c>
    </row>
    <row r="3" spans="1:11" ht="15.6" x14ac:dyDescent="0.3">
      <c r="A3" s="142" t="s">
        <v>383</v>
      </c>
      <c r="B3" s="144"/>
      <c r="C3" s="142"/>
    </row>
    <row r="4" spans="1:11" ht="15.6" x14ac:dyDescent="0.3">
      <c r="A4" s="145"/>
      <c r="B4" s="146"/>
      <c r="C4" s="147">
        <v>6.2</v>
      </c>
      <c r="D4" s="147">
        <v>6.1</v>
      </c>
      <c r="E4" s="147">
        <v>5.2</v>
      </c>
      <c r="F4" s="147">
        <v>5.0999999999999996</v>
      </c>
      <c r="G4" s="147">
        <v>4.2</v>
      </c>
      <c r="H4" s="147">
        <v>4.0999999999999996</v>
      </c>
      <c r="K4" s="143" t="s">
        <v>413</v>
      </c>
    </row>
    <row r="5" spans="1:11" ht="15.6" x14ac:dyDescent="0.3">
      <c r="B5" s="148"/>
      <c r="C5" s="149" t="s">
        <v>384</v>
      </c>
      <c r="D5" s="147"/>
      <c r="E5" s="147"/>
      <c r="F5" s="147"/>
      <c r="G5" s="147"/>
    </row>
    <row r="6" spans="1:11" ht="15.6" x14ac:dyDescent="0.3">
      <c r="A6" s="150" t="s">
        <v>24</v>
      </c>
      <c r="B6" s="143" t="s">
        <v>385</v>
      </c>
      <c r="C6" s="154">
        <v>141.38999999999999</v>
      </c>
      <c r="D6" s="154">
        <v>1362.27</v>
      </c>
      <c r="E6" s="154">
        <v>1362.27</v>
      </c>
      <c r="F6" s="154">
        <v>1362.27</v>
      </c>
      <c r="G6" s="155">
        <v>1362.27</v>
      </c>
      <c r="H6" s="154">
        <v>1220.8800000000001</v>
      </c>
    </row>
    <row r="7" spans="1:11" ht="15.6" x14ac:dyDescent="0.3">
      <c r="A7" s="150" t="s">
        <v>24</v>
      </c>
      <c r="B7" s="143" t="s">
        <v>386</v>
      </c>
      <c r="C7" s="154">
        <v>822.19</v>
      </c>
      <c r="D7" s="154">
        <v>1291.3900000000001</v>
      </c>
      <c r="E7" s="154">
        <v>858.09</v>
      </c>
      <c r="F7" s="154">
        <v>933.09</v>
      </c>
      <c r="G7" s="155">
        <v>975.59</v>
      </c>
      <c r="H7" s="154">
        <v>755</v>
      </c>
    </row>
    <row r="8" spans="1:11" ht="15.6" x14ac:dyDescent="0.3">
      <c r="A8" s="150" t="s">
        <v>24</v>
      </c>
      <c r="B8" s="143" t="s">
        <v>387</v>
      </c>
      <c r="C8" s="154">
        <v>141.38999999999999</v>
      </c>
      <c r="D8" s="154">
        <v>245</v>
      </c>
      <c r="E8" s="154">
        <v>195.17</v>
      </c>
      <c r="F8" s="154">
        <v>231.02</v>
      </c>
      <c r="G8" s="155">
        <v>239.98</v>
      </c>
      <c r="H8" s="154">
        <v>110.54</v>
      </c>
    </row>
    <row r="9" spans="1:11" ht="17.25" customHeight="1" x14ac:dyDescent="0.3">
      <c r="A9" s="150" t="s">
        <v>24</v>
      </c>
      <c r="B9" s="143" t="s">
        <v>388</v>
      </c>
      <c r="C9" s="154">
        <v>1175.95</v>
      </c>
      <c r="D9" s="154">
        <v>1699.83</v>
      </c>
      <c r="E9" s="154">
        <v>1220.04</v>
      </c>
      <c r="F9" s="154">
        <v>1306.6199999999999</v>
      </c>
      <c r="G9" s="155">
        <v>1395.33</v>
      </c>
      <c r="H9" s="154">
        <v>1379.69</v>
      </c>
    </row>
    <row r="10" spans="1:11" ht="15.6" x14ac:dyDescent="0.3">
      <c r="A10" s="150" t="s">
        <v>24</v>
      </c>
      <c r="B10" s="151" t="s">
        <v>389</v>
      </c>
      <c r="C10" s="154">
        <v>278.83</v>
      </c>
      <c r="D10" s="154">
        <v>413.42</v>
      </c>
      <c r="E10" s="154">
        <v>350.64</v>
      </c>
      <c r="F10" s="154">
        <v>371.57</v>
      </c>
      <c r="G10" s="155">
        <v>371.57</v>
      </c>
      <c r="H10" s="154">
        <v>209.25</v>
      </c>
    </row>
    <row r="11" spans="1:11" ht="15.6" x14ac:dyDescent="0.3">
      <c r="A11" s="150" t="s">
        <v>24</v>
      </c>
      <c r="B11" s="151" t="s">
        <v>390</v>
      </c>
      <c r="C11" s="154">
        <v>816.25</v>
      </c>
      <c r="D11" s="154">
        <v>1433.59</v>
      </c>
      <c r="E11" s="154">
        <v>1433.59</v>
      </c>
      <c r="F11" s="154">
        <v>1433.59</v>
      </c>
      <c r="G11" s="155">
        <v>1433.59</v>
      </c>
      <c r="H11" s="154">
        <v>1292.2</v>
      </c>
      <c r="K11" s="155">
        <v>27984</v>
      </c>
    </row>
    <row r="12" spans="1:11" ht="15.6" x14ac:dyDescent="0.3">
      <c r="A12" s="150" t="s">
        <v>24</v>
      </c>
      <c r="B12" s="143" t="s">
        <v>391</v>
      </c>
      <c r="C12" s="154">
        <v>1219.6099999999999</v>
      </c>
      <c r="D12" s="154">
        <v>1595.01</v>
      </c>
      <c r="E12" s="154">
        <v>1202.51</v>
      </c>
      <c r="F12" s="154">
        <v>1227.01</v>
      </c>
      <c r="G12" s="155">
        <v>1288.77</v>
      </c>
      <c r="H12" s="154">
        <v>1635.45</v>
      </c>
    </row>
    <row r="13" spans="1:11" ht="15.6" x14ac:dyDescent="0.3">
      <c r="A13" s="150" t="s">
        <v>24</v>
      </c>
      <c r="B13" s="143" t="s">
        <v>392</v>
      </c>
      <c r="C13" s="154">
        <v>141.38999999999999</v>
      </c>
      <c r="D13" s="154">
        <v>757.39</v>
      </c>
      <c r="E13" s="154">
        <v>556.64</v>
      </c>
      <c r="F13" s="154">
        <v>407.26</v>
      </c>
      <c r="G13" s="155">
        <v>642.77</v>
      </c>
      <c r="H13" s="154">
        <v>416.13</v>
      </c>
    </row>
    <row r="14" spans="1:11" ht="15.6" x14ac:dyDescent="0.3">
      <c r="A14" s="150" t="s">
        <v>24</v>
      </c>
      <c r="B14" s="143" t="s">
        <v>393</v>
      </c>
      <c r="C14" s="154">
        <v>71.040000000000006</v>
      </c>
      <c r="D14" s="154">
        <v>179.79</v>
      </c>
      <c r="E14" s="154">
        <v>193.43</v>
      </c>
      <c r="F14" s="154">
        <v>213.99</v>
      </c>
      <c r="G14" s="155">
        <v>155.80000000000001</v>
      </c>
      <c r="H14" s="154">
        <v>194.75</v>
      </c>
    </row>
    <row r="15" spans="1:11" ht="15.6" x14ac:dyDescent="0.3">
      <c r="A15" s="150" t="s">
        <v>24</v>
      </c>
      <c r="B15" s="151" t="s">
        <v>394</v>
      </c>
      <c r="C15" s="154">
        <v>409.41</v>
      </c>
      <c r="D15" s="154">
        <v>1372.27</v>
      </c>
      <c r="E15" s="154">
        <v>982.51</v>
      </c>
      <c r="F15" s="154">
        <v>1073.23</v>
      </c>
      <c r="G15" s="155">
        <v>1064.6099999999999</v>
      </c>
      <c r="H15" s="154">
        <v>836.42</v>
      </c>
    </row>
    <row r="16" spans="1:11" ht="17.25" customHeight="1" x14ac:dyDescent="0.3">
      <c r="A16" s="150" t="s">
        <v>24</v>
      </c>
      <c r="B16" s="151" t="s">
        <v>395</v>
      </c>
      <c r="C16" s="154">
        <v>284.69</v>
      </c>
      <c r="D16" s="154">
        <v>1238.8900000000001</v>
      </c>
      <c r="E16" s="154">
        <v>904.69</v>
      </c>
      <c r="F16" s="154">
        <v>1018.09</v>
      </c>
      <c r="G16" s="155">
        <v>937.69</v>
      </c>
      <c r="H16" s="154">
        <v>775.8</v>
      </c>
    </row>
    <row r="17" spans="1:8" ht="15.6" x14ac:dyDescent="0.3">
      <c r="A17" s="150" t="s">
        <v>24</v>
      </c>
      <c r="B17" s="143" t="s">
        <v>396</v>
      </c>
      <c r="C17" s="154">
        <v>885.87</v>
      </c>
      <c r="D17" s="154">
        <v>654.63</v>
      </c>
      <c r="E17" s="154">
        <v>423.39</v>
      </c>
      <c r="F17" s="154">
        <v>451.59</v>
      </c>
      <c r="G17" s="155">
        <v>429.03</v>
      </c>
      <c r="H17" s="154">
        <v>282</v>
      </c>
    </row>
    <row r="18" spans="1:8" ht="15.6" x14ac:dyDescent="0.3">
      <c r="A18" s="150" t="s">
        <v>24</v>
      </c>
      <c r="B18" s="143" t="s">
        <v>397</v>
      </c>
      <c r="C18" s="154">
        <v>321.39</v>
      </c>
      <c r="D18" s="154">
        <v>1225.3900000000001</v>
      </c>
      <c r="E18" s="154">
        <v>941.39</v>
      </c>
      <c r="F18" s="154">
        <v>1021.39</v>
      </c>
      <c r="G18" s="155">
        <v>1021.39</v>
      </c>
      <c r="H18" s="154">
        <v>800</v>
      </c>
    </row>
    <row r="19" spans="1:8" ht="15.6" x14ac:dyDescent="0.3">
      <c r="A19" s="150" t="s">
        <v>24</v>
      </c>
      <c r="B19" s="143" t="s">
        <v>398</v>
      </c>
      <c r="C19" s="154">
        <v>141.38999999999999</v>
      </c>
      <c r="D19" s="154">
        <v>486.47</v>
      </c>
      <c r="E19" s="154">
        <v>466.67</v>
      </c>
      <c r="F19" s="154">
        <v>539.22</v>
      </c>
      <c r="G19" s="155">
        <v>522.30999999999995</v>
      </c>
      <c r="H19" s="154">
        <v>342.4</v>
      </c>
    </row>
    <row r="20" spans="1:8" ht="15.6" x14ac:dyDescent="0.3">
      <c r="A20" s="150" t="s">
        <v>24</v>
      </c>
      <c r="B20" s="143" t="s">
        <v>399</v>
      </c>
      <c r="C20" s="154">
        <v>243.09</v>
      </c>
      <c r="D20" s="154">
        <v>712.59</v>
      </c>
      <c r="E20" s="154">
        <v>629.49</v>
      </c>
      <c r="F20" s="154">
        <v>654.91</v>
      </c>
      <c r="G20" s="155">
        <v>738.13</v>
      </c>
      <c r="H20" s="154">
        <v>492.8</v>
      </c>
    </row>
    <row r="21" spans="1:8" ht="15.6" x14ac:dyDescent="0.3">
      <c r="A21" s="150" t="s">
        <v>24</v>
      </c>
      <c r="B21" s="151" t="s">
        <v>400</v>
      </c>
      <c r="C21" s="154">
        <v>847.55</v>
      </c>
      <c r="D21" s="154">
        <v>1517.02</v>
      </c>
      <c r="E21" s="154">
        <v>1079.3699999999999</v>
      </c>
      <c r="F21" s="154">
        <v>1163.94</v>
      </c>
      <c r="G21" s="155">
        <v>1179.22</v>
      </c>
      <c r="H21" s="154">
        <v>945.32</v>
      </c>
    </row>
    <row r="22" spans="1:8" ht="15.6" x14ac:dyDescent="0.3">
      <c r="A22" s="150" t="s">
        <v>24</v>
      </c>
      <c r="B22" s="151" t="s">
        <v>401</v>
      </c>
      <c r="C22" s="154">
        <v>141.38999999999999</v>
      </c>
      <c r="D22" s="154">
        <v>413.42</v>
      </c>
      <c r="E22" s="154">
        <v>350.64</v>
      </c>
      <c r="F22" s="154">
        <v>371.57</v>
      </c>
      <c r="G22" s="155">
        <v>371.57</v>
      </c>
      <c r="H22" s="154">
        <v>209.25</v>
      </c>
    </row>
    <row r="23" spans="1:8" ht="17.25" customHeight="1" x14ac:dyDescent="0.3">
      <c r="A23" s="142" t="s">
        <v>402</v>
      </c>
      <c r="B23" s="151" t="s">
        <v>403</v>
      </c>
      <c r="C23" s="154">
        <v>398.5</v>
      </c>
      <c r="D23" s="154">
        <v>625.89</v>
      </c>
      <c r="E23" s="154">
        <v>464.39</v>
      </c>
      <c r="F23" s="154">
        <v>496.69</v>
      </c>
      <c r="G23" s="155">
        <v>432.09</v>
      </c>
      <c r="H23" s="154">
        <v>512.76</v>
      </c>
    </row>
    <row r="24" spans="1:8" ht="15.6" x14ac:dyDescent="0.3">
      <c r="A24" s="142" t="s">
        <v>402</v>
      </c>
      <c r="B24" s="151" t="s">
        <v>404</v>
      </c>
      <c r="C24" s="154">
        <v>141.38999999999999</v>
      </c>
      <c r="D24" s="154">
        <v>697.79</v>
      </c>
      <c r="E24" s="154">
        <v>569.39</v>
      </c>
      <c r="F24" s="154">
        <v>612.19000000000005</v>
      </c>
      <c r="G24" s="155">
        <v>569.39</v>
      </c>
      <c r="H24" s="154">
        <v>385.2</v>
      </c>
    </row>
    <row r="25" spans="1:8" ht="15.6" x14ac:dyDescent="0.3">
      <c r="A25" s="142" t="s">
        <v>402</v>
      </c>
      <c r="B25" s="151" t="s">
        <v>405</v>
      </c>
      <c r="C25" s="154">
        <v>141.38999999999999</v>
      </c>
      <c r="D25" s="154">
        <v>505.71</v>
      </c>
      <c r="E25" s="154">
        <v>450.4</v>
      </c>
      <c r="F25" s="154">
        <v>1325.43</v>
      </c>
      <c r="G25" s="155">
        <v>273.93</v>
      </c>
      <c r="H25" s="154">
        <v>170.57</v>
      </c>
    </row>
    <row r="26" spans="1:8" ht="15.6" x14ac:dyDescent="0.3">
      <c r="A26" s="150" t="s">
        <v>26</v>
      </c>
      <c r="B26" s="143" t="s">
        <v>406</v>
      </c>
      <c r="C26" s="154">
        <v>2085.66</v>
      </c>
      <c r="D26" s="154">
        <v>2208.33</v>
      </c>
      <c r="E26" s="154">
        <v>2208.33</v>
      </c>
      <c r="F26" s="154">
        <v>2208.33</v>
      </c>
      <c r="G26" s="155">
        <v>2208.33</v>
      </c>
      <c r="H26" s="154">
        <v>2208.33</v>
      </c>
    </row>
    <row r="27" spans="1:8" ht="15" customHeight="1" x14ac:dyDescent="0.3">
      <c r="A27" s="142"/>
      <c r="B27" s="151"/>
      <c r="C27" s="154"/>
      <c r="D27" s="155"/>
      <c r="E27" s="155"/>
      <c r="F27" s="155"/>
      <c r="G27" s="155"/>
      <c r="H27" s="155"/>
    </row>
    <row r="28" spans="1:8" ht="15.6" x14ac:dyDescent="0.3">
      <c r="B28" s="143" t="s">
        <v>345</v>
      </c>
      <c r="C28" s="156">
        <f t="shared" ref="C28:H28" si="0">SUM(C6:C27)</f>
        <v>10849.759999999998</v>
      </c>
      <c r="D28" s="156">
        <f t="shared" si="0"/>
        <v>20636.089999999997</v>
      </c>
      <c r="E28" s="156">
        <f t="shared" si="0"/>
        <v>16843.039999999997</v>
      </c>
      <c r="F28" s="156">
        <f t="shared" si="0"/>
        <v>18423</v>
      </c>
      <c r="G28" s="156">
        <f t="shared" si="0"/>
        <v>17613.36</v>
      </c>
      <c r="H28" s="156">
        <f t="shared" si="0"/>
        <v>15174.74</v>
      </c>
    </row>
    <row r="29" spans="1:8" s="151" customFormat="1" x14ac:dyDescent="0.25">
      <c r="A29" s="143"/>
      <c r="B29" s="143"/>
      <c r="C29" s="152"/>
      <c r="D29" s="143"/>
    </row>
    <row r="30" spans="1:8" s="151" customFormat="1" x14ac:dyDescent="0.25">
      <c r="A30" s="143"/>
      <c r="B30" s="143"/>
      <c r="C30" s="152"/>
      <c r="D30" s="143"/>
    </row>
    <row r="31" spans="1:8" s="151" customFormat="1" x14ac:dyDescent="0.25">
      <c r="A31" s="143"/>
      <c r="B31" s="143"/>
      <c r="C31" s="152"/>
      <c r="D31" s="143"/>
    </row>
    <row r="32" spans="1:8" s="151" customFormat="1" x14ac:dyDescent="0.25">
      <c r="A32" s="143"/>
      <c r="B32" s="143"/>
      <c r="C32" s="152"/>
      <c r="D32" s="143"/>
    </row>
    <row r="33" spans="1:4" s="151" customFormat="1" x14ac:dyDescent="0.25">
      <c r="A33" s="143"/>
      <c r="B33" s="143"/>
      <c r="C33" s="152"/>
      <c r="D33" s="143"/>
    </row>
    <row r="34" spans="1:4" s="151" customFormat="1" x14ac:dyDescent="0.25">
      <c r="A34" s="143"/>
      <c r="B34" s="143"/>
      <c r="C34" s="152"/>
      <c r="D34" s="143"/>
    </row>
    <row r="35" spans="1:4" s="151" customFormat="1" x14ac:dyDescent="0.25">
      <c r="A35" s="143"/>
      <c r="B35" s="143"/>
      <c r="C35" s="152"/>
      <c r="D35" s="143"/>
    </row>
    <row r="36" spans="1:4" s="151" customFormat="1" x14ac:dyDescent="0.25">
      <c r="A36" s="143"/>
      <c r="B36" s="143"/>
      <c r="C36" s="152"/>
      <c r="D36" s="143"/>
    </row>
    <row r="37" spans="1:4" s="151" customFormat="1" x14ac:dyDescent="0.25">
      <c r="A37" s="143"/>
      <c r="B37" s="143"/>
      <c r="C37" s="152"/>
      <c r="D37" s="143"/>
    </row>
    <row r="38" spans="1:4" s="151" customFormat="1" x14ac:dyDescent="0.25">
      <c r="A38" s="143"/>
      <c r="B38" s="143"/>
      <c r="C38" s="152"/>
      <c r="D38" s="143"/>
    </row>
    <row r="39" spans="1:4" s="151" customFormat="1" x14ac:dyDescent="0.25">
      <c r="A39" s="143"/>
      <c r="B39" s="143"/>
      <c r="C39" s="152"/>
      <c r="D39" s="143"/>
    </row>
    <row r="40" spans="1:4" s="151" customFormat="1" x14ac:dyDescent="0.25">
      <c r="A40" s="143"/>
      <c r="B40" s="143"/>
      <c r="C40" s="152"/>
      <c r="D40" s="143"/>
    </row>
    <row r="41" spans="1:4" s="151" customFormat="1" x14ac:dyDescent="0.25">
      <c r="A41" s="143"/>
      <c r="B41" s="143"/>
      <c r="C41" s="152"/>
      <c r="D41" s="143"/>
    </row>
    <row r="42" spans="1:4" s="151" customFormat="1" ht="14.1" customHeight="1" x14ac:dyDescent="0.25">
      <c r="A42" s="143"/>
      <c r="B42" s="143"/>
      <c r="C42" s="143"/>
      <c r="D42" s="143"/>
    </row>
    <row r="43" spans="1:4" s="151" customFormat="1" ht="14.1" customHeight="1" x14ac:dyDescent="0.3">
      <c r="A43" s="143"/>
      <c r="B43" s="145"/>
      <c r="C43" s="143"/>
      <c r="D43" s="143"/>
    </row>
    <row r="44" spans="1:4" s="151" customFormat="1" ht="14.1" customHeight="1" x14ac:dyDescent="0.3">
      <c r="A44" s="143"/>
      <c r="B44" s="145"/>
      <c r="C44" s="143"/>
      <c r="D44" s="143"/>
    </row>
    <row r="45" spans="1:4" s="151" customFormat="1" ht="14.1" customHeight="1" x14ac:dyDescent="0.3">
      <c r="A45" s="143"/>
      <c r="B45" s="145"/>
      <c r="C45" s="143"/>
      <c r="D45" s="143"/>
    </row>
    <row r="46" spans="1:4" s="151" customFormat="1" ht="14.1" customHeight="1" x14ac:dyDescent="0.3">
      <c r="A46" s="143"/>
      <c r="B46" s="145"/>
      <c r="C46" s="143"/>
      <c r="D46" s="143"/>
    </row>
    <row r="47" spans="1:4" s="151" customFormat="1" ht="14.1" customHeight="1" x14ac:dyDescent="0.25">
      <c r="A47" s="143"/>
      <c r="B47" s="143"/>
      <c r="C47" s="143"/>
      <c r="D47" s="143"/>
    </row>
    <row r="50" spans="1:4" s="151" customFormat="1" x14ac:dyDescent="0.25">
      <c r="A50" s="143"/>
      <c r="B50" s="143"/>
      <c r="C50" s="143"/>
      <c r="D50" s="143"/>
    </row>
    <row r="51" spans="1:4" s="151" customFormat="1" x14ac:dyDescent="0.25">
      <c r="A51" s="143"/>
      <c r="B51" s="143"/>
      <c r="C51" s="143"/>
      <c r="D51" s="143"/>
    </row>
    <row r="52" spans="1:4" s="151" customFormat="1" x14ac:dyDescent="0.25">
      <c r="A52" s="143"/>
      <c r="B52" s="143"/>
      <c r="C52" s="143"/>
      <c r="D52" s="143"/>
    </row>
    <row r="53" spans="1:4" s="151" customFormat="1" x14ac:dyDescent="0.25">
      <c r="A53" s="143"/>
      <c r="B53" s="143"/>
      <c r="C53" s="143"/>
      <c r="D53" s="143"/>
    </row>
    <row r="54" spans="1:4" s="151" customFormat="1" x14ac:dyDescent="0.25">
      <c r="A54" s="143"/>
      <c r="B54" s="143"/>
      <c r="C54" s="143"/>
      <c r="D54" s="143"/>
    </row>
    <row r="55" spans="1:4" s="151" customFormat="1" x14ac:dyDescent="0.25">
      <c r="A55" s="143"/>
      <c r="B55" s="143"/>
      <c r="C55" s="143"/>
      <c r="D55" s="143"/>
    </row>
    <row r="56" spans="1:4" s="151" customFormat="1" x14ac:dyDescent="0.25">
      <c r="A56" s="143"/>
      <c r="B56" s="143"/>
      <c r="C56" s="143"/>
      <c r="D56" s="143"/>
    </row>
    <row r="57" spans="1:4" s="151" customFormat="1" x14ac:dyDescent="0.25">
      <c r="A57" s="143"/>
      <c r="B57" s="143"/>
      <c r="C57" s="143"/>
      <c r="D57" s="143"/>
    </row>
    <row r="58" spans="1:4" s="151" customFormat="1" x14ac:dyDescent="0.25">
      <c r="A58" s="143"/>
      <c r="B58" s="143"/>
      <c r="C58" s="143"/>
      <c r="D58" s="143"/>
    </row>
    <row r="59" spans="1:4" s="151" customFormat="1" x14ac:dyDescent="0.25">
      <c r="A59" s="143"/>
      <c r="B59" s="143"/>
      <c r="C59" s="143"/>
      <c r="D59" s="143"/>
    </row>
    <row r="60" spans="1:4" s="151" customFormat="1" x14ac:dyDescent="0.25">
      <c r="A60" s="143"/>
      <c r="B60" s="143"/>
      <c r="C60" s="143"/>
      <c r="D60" s="143"/>
    </row>
    <row r="61" spans="1:4" s="151" customFormat="1" x14ac:dyDescent="0.25">
      <c r="A61" s="143"/>
      <c r="B61" s="143"/>
      <c r="C61" s="143"/>
      <c r="D61" s="143"/>
    </row>
    <row r="62" spans="1:4" s="151" customFormat="1" x14ac:dyDescent="0.25">
      <c r="A62" s="143"/>
      <c r="B62" s="143"/>
      <c r="C62" s="143"/>
      <c r="D62" s="143"/>
    </row>
    <row r="63" spans="1:4" s="151" customFormat="1" x14ac:dyDescent="0.25">
      <c r="A63" s="143"/>
      <c r="B63" s="143"/>
      <c r="C63" s="143"/>
      <c r="D63" s="143"/>
    </row>
    <row r="64" spans="1:4" s="151" customFormat="1" x14ac:dyDescent="0.25">
      <c r="A64" s="143"/>
      <c r="B64" s="143"/>
      <c r="C64" s="143"/>
      <c r="D64" s="143"/>
    </row>
    <row r="65" spans="1:4" s="151" customFormat="1" x14ac:dyDescent="0.25">
      <c r="A65" s="143"/>
      <c r="B65" s="143"/>
      <c r="C65" s="143"/>
      <c r="D65" s="143"/>
    </row>
    <row r="66" spans="1:4" s="151" customFormat="1" x14ac:dyDescent="0.25">
      <c r="A66" s="143"/>
      <c r="B66" s="143"/>
      <c r="C66" s="143"/>
      <c r="D66" s="143"/>
    </row>
    <row r="67" spans="1:4" s="151" customFormat="1" x14ac:dyDescent="0.25">
      <c r="A67" s="143"/>
      <c r="B67" s="143"/>
      <c r="C67" s="153"/>
      <c r="D67" s="143"/>
    </row>
    <row r="68" spans="1:4" s="151" customFormat="1" x14ac:dyDescent="0.25">
      <c r="A68" s="143"/>
      <c r="B68" s="143"/>
      <c r="C68" s="153"/>
      <c r="D68" s="143"/>
    </row>
    <row r="69" spans="1:4" s="151" customFormat="1" x14ac:dyDescent="0.25">
      <c r="A69" s="143"/>
      <c r="B69" s="143"/>
      <c r="C69" s="153"/>
      <c r="D69" s="143"/>
    </row>
    <row r="70" spans="1:4" x14ac:dyDescent="0.25">
      <c r="C70" s="153"/>
    </row>
  </sheetData>
  <pageMargins left="0.25" right="0.25" top="0.17" bottom="0.25" header="0.17" footer="0.5"/>
  <pageSetup scale="50" fitToHeight="2" orientation="portrait" blackAndWhite="1" horizontalDpi="300" verticalDpi="300" r:id="rId1"/>
  <headerFooter alignWithMargins="0"/>
  <colBreaks count="1" manualBreakCount="1">
    <brk id="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topLeftCell="A34" workbookViewId="0">
      <selection activeCell="F56" sqref="F56"/>
    </sheetView>
  </sheetViews>
  <sheetFormatPr defaultColWidth="9.109375" defaultRowHeight="12.75" customHeight="1" x14ac:dyDescent="0.25"/>
  <cols>
    <col min="1" max="1" width="3.5546875" customWidth="1"/>
    <col min="2" max="3" width="4.44140625" customWidth="1"/>
    <col min="4" max="4" width="3.5546875" customWidth="1"/>
    <col min="5" max="5" width="9.109375" customWidth="1"/>
    <col min="6" max="6" width="9" style="108" bestFit="1" customWidth="1"/>
  </cols>
  <sheetData>
    <row r="1" spans="1:6" ht="12.75" customHeight="1" x14ac:dyDescent="0.25">
      <c r="A1" s="107"/>
      <c r="B1" s="107"/>
      <c r="C1" s="107"/>
      <c r="D1" s="107"/>
      <c r="E1" s="107"/>
      <c r="F1" s="109"/>
    </row>
    <row r="2" spans="1:6" ht="12.75" customHeight="1" x14ac:dyDescent="0.25">
      <c r="A2" s="107"/>
      <c r="B2" s="107"/>
      <c r="C2" s="107"/>
      <c r="D2" s="107"/>
      <c r="E2" s="107"/>
      <c r="F2" s="109"/>
    </row>
    <row r="3" spans="1:6" ht="12.75" customHeight="1" x14ac:dyDescent="0.25">
      <c r="A3" s="110">
        <v>100</v>
      </c>
      <c r="B3" s="110">
        <v>3300</v>
      </c>
      <c r="C3" s="110">
        <v>0</v>
      </c>
      <c r="D3" s="110">
        <v>0</v>
      </c>
      <c r="E3" s="110" t="s">
        <v>244</v>
      </c>
      <c r="F3" s="111">
        <v>1600277.01</v>
      </c>
    </row>
    <row r="4" spans="1:6" ht="12.75" customHeight="1" x14ac:dyDescent="0.25">
      <c r="A4" s="110">
        <v>100</v>
      </c>
      <c r="B4" s="110">
        <v>3334</v>
      </c>
      <c r="C4" s="110">
        <v>0</v>
      </c>
      <c r="D4" s="110">
        <v>0</v>
      </c>
      <c r="E4" s="110" t="s">
        <v>143</v>
      </c>
      <c r="F4" s="111">
        <v>3420</v>
      </c>
    </row>
    <row r="5" spans="1:6" ht="12.75" customHeight="1" x14ac:dyDescent="0.25">
      <c r="A5" s="110">
        <v>100</v>
      </c>
      <c r="B5" s="110">
        <v>3397</v>
      </c>
      <c r="C5" s="110">
        <v>0</v>
      </c>
      <c r="D5" s="110">
        <v>0</v>
      </c>
      <c r="E5" s="110" t="s">
        <v>210</v>
      </c>
      <c r="F5" s="111">
        <v>127827</v>
      </c>
    </row>
    <row r="6" spans="1:6" ht="12.75" customHeight="1" x14ac:dyDescent="0.25">
      <c r="A6" s="110">
        <v>100</v>
      </c>
      <c r="B6" s="110">
        <v>3400</v>
      </c>
      <c r="C6" s="110">
        <v>0</v>
      </c>
      <c r="D6" s="110">
        <v>0</v>
      </c>
      <c r="E6" s="110" t="s">
        <v>172</v>
      </c>
      <c r="F6" s="111">
        <v>71.36</v>
      </c>
    </row>
    <row r="7" spans="1:6" ht="12.75" customHeight="1" x14ac:dyDescent="0.25">
      <c r="A7" s="110">
        <v>100</v>
      </c>
      <c r="B7" s="110">
        <v>3440</v>
      </c>
      <c r="C7" s="110">
        <v>0</v>
      </c>
      <c r="D7" s="110">
        <v>0</v>
      </c>
      <c r="E7" s="110" t="s">
        <v>245</v>
      </c>
      <c r="F7" s="111">
        <v>7894</v>
      </c>
    </row>
    <row r="8" spans="1:6" ht="12.75" customHeight="1" x14ac:dyDescent="0.25">
      <c r="A8" s="110">
        <v>100</v>
      </c>
      <c r="B8" s="110">
        <v>3473</v>
      </c>
      <c r="C8" s="110">
        <v>0</v>
      </c>
      <c r="D8" s="110">
        <v>0</v>
      </c>
      <c r="E8" s="110" t="s">
        <v>67</v>
      </c>
      <c r="F8" s="111">
        <v>5023.7244000000001</v>
      </c>
    </row>
    <row r="9" spans="1:6" ht="12.75" customHeight="1" x14ac:dyDescent="0.25">
      <c r="A9" s="110">
        <v>100</v>
      </c>
      <c r="B9" s="110">
        <v>3474</v>
      </c>
      <c r="C9" s="110">
        <v>0</v>
      </c>
      <c r="D9" s="110">
        <v>0</v>
      </c>
      <c r="E9" s="110" t="s">
        <v>246</v>
      </c>
      <c r="F9" s="111">
        <v>3989.6586000000002</v>
      </c>
    </row>
    <row r="10" spans="1:6" ht="12.75" customHeight="1" x14ac:dyDescent="0.25">
      <c r="A10" s="110">
        <v>100</v>
      </c>
      <c r="B10" s="110">
        <v>3475</v>
      </c>
      <c r="C10" s="110">
        <v>0</v>
      </c>
      <c r="D10" s="110">
        <v>0</v>
      </c>
      <c r="E10" s="110" t="s">
        <v>206</v>
      </c>
      <c r="F10" s="111">
        <v>2328.66</v>
      </c>
    </row>
    <row r="11" spans="1:6" ht="12.75" customHeight="1" x14ac:dyDescent="0.25">
      <c r="A11" s="110">
        <v>100</v>
      </c>
      <c r="B11" s="110">
        <v>3476</v>
      </c>
      <c r="C11" s="110">
        <v>0</v>
      </c>
      <c r="D11" s="110">
        <v>0</v>
      </c>
      <c r="E11" s="110" t="s">
        <v>80</v>
      </c>
      <c r="F11" s="111">
        <v>689.52</v>
      </c>
    </row>
    <row r="12" spans="1:6" ht="12.75" customHeight="1" x14ac:dyDescent="0.25">
      <c r="A12" s="110">
        <v>100</v>
      </c>
      <c r="B12" s="110">
        <v>3477</v>
      </c>
      <c r="C12" s="110">
        <v>0</v>
      </c>
      <c r="D12" s="110">
        <v>0</v>
      </c>
      <c r="E12" s="110" t="s">
        <v>247</v>
      </c>
      <c r="F12" s="111">
        <v>1158.9240000000002</v>
      </c>
    </row>
    <row r="13" spans="1:6" ht="12.75" customHeight="1" x14ac:dyDescent="0.25">
      <c r="A13" s="110">
        <v>100</v>
      </c>
      <c r="B13" s="110">
        <v>3478</v>
      </c>
      <c r="C13" s="110">
        <v>0</v>
      </c>
      <c r="D13" s="110">
        <v>0</v>
      </c>
      <c r="E13" s="110" t="s">
        <v>248</v>
      </c>
      <c r="F13" s="111">
        <v>2264.6999999999998</v>
      </c>
    </row>
    <row r="14" spans="1:6" ht="12.75" customHeight="1" x14ac:dyDescent="0.25">
      <c r="A14" s="110">
        <v>100</v>
      </c>
      <c r="B14" s="110">
        <v>3497</v>
      </c>
      <c r="C14" s="110">
        <v>0</v>
      </c>
      <c r="D14" s="110">
        <v>0</v>
      </c>
      <c r="E14" s="110" t="s">
        <v>249</v>
      </c>
      <c r="F14" s="111">
        <v>6348.16</v>
      </c>
    </row>
    <row r="15" spans="1:6" ht="12.75" customHeight="1" x14ac:dyDescent="0.25">
      <c r="A15" s="110">
        <v>410</v>
      </c>
      <c r="B15" s="110">
        <v>3451</v>
      </c>
      <c r="C15" s="110">
        <v>0</v>
      </c>
      <c r="D15" s="110">
        <v>0</v>
      </c>
      <c r="E15" s="110" t="s">
        <v>71</v>
      </c>
      <c r="F15" s="111">
        <v>13687.17</v>
      </c>
    </row>
    <row r="18" spans="1:6" ht="12.75" customHeight="1" x14ac:dyDescent="0.25">
      <c r="A18" s="110">
        <v>100</v>
      </c>
      <c r="B18" s="110">
        <v>4000</v>
      </c>
      <c r="C18" s="110">
        <v>7300</v>
      </c>
      <c r="D18" s="110">
        <v>110</v>
      </c>
      <c r="E18" s="110" t="s">
        <v>9</v>
      </c>
      <c r="F18" s="111">
        <v>61789.51</v>
      </c>
    </row>
    <row r="19" spans="1:6" ht="12.75" customHeight="1" x14ac:dyDescent="0.25">
      <c r="A19" s="110">
        <v>100</v>
      </c>
      <c r="B19" s="110">
        <v>4000</v>
      </c>
      <c r="C19" s="110">
        <v>5100</v>
      </c>
      <c r="D19" s="110">
        <v>120</v>
      </c>
      <c r="E19" s="110" t="s">
        <v>1</v>
      </c>
      <c r="F19" s="111">
        <v>626898.93999999994</v>
      </c>
    </row>
    <row r="20" spans="1:6" ht="12.75" customHeight="1" x14ac:dyDescent="0.25">
      <c r="A20" s="110">
        <v>100</v>
      </c>
      <c r="B20" s="110">
        <v>4000</v>
      </c>
      <c r="C20" s="110">
        <v>5200</v>
      </c>
      <c r="D20" s="110">
        <v>120</v>
      </c>
      <c r="E20" s="110" t="s">
        <v>5</v>
      </c>
      <c r="F20" s="111">
        <v>36823.64</v>
      </c>
    </row>
    <row r="21" spans="1:6" ht="12.75" customHeight="1" x14ac:dyDescent="0.25">
      <c r="A21" s="110">
        <v>891</v>
      </c>
      <c r="B21" s="110">
        <v>4000</v>
      </c>
      <c r="C21" s="110">
        <v>9100</v>
      </c>
      <c r="D21" s="110">
        <v>150</v>
      </c>
      <c r="E21" s="110" t="s">
        <v>253</v>
      </c>
      <c r="F21" s="111">
        <v>2428</v>
      </c>
    </row>
    <row r="22" spans="1:6" ht="12.75" customHeight="1" x14ac:dyDescent="0.25">
      <c r="A22" s="110">
        <v>100</v>
      </c>
      <c r="B22" s="110">
        <v>4000</v>
      </c>
      <c r="C22" s="110">
        <v>7300</v>
      </c>
      <c r="D22" s="110">
        <v>160</v>
      </c>
      <c r="E22" s="110" t="s">
        <v>11</v>
      </c>
      <c r="F22" s="111">
        <v>73053.009999999995</v>
      </c>
    </row>
    <row r="23" spans="1:6" ht="12.75" customHeight="1" x14ac:dyDescent="0.25">
      <c r="A23" s="110">
        <v>410</v>
      </c>
      <c r="B23" s="110">
        <v>4000</v>
      </c>
      <c r="C23" s="110">
        <v>7600</v>
      </c>
      <c r="D23" s="110">
        <v>160</v>
      </c>
      <c r="E23" s="110" t="s">
        <v>15</v>
      </c>
      <c r="F23" s="111">
        <v>18977</v>
      </c>
    </row>
    <row r="24" spans="1:6" ht="12.75" customHeight="1" x14ac:dyDescent="0.25">
      <c r="A24" s="110">
        <v>100</v>
      </c>
      <c r="B24" s="110">
        <v>4000</v>
      </c>
      <c r="C24" s="110">
        <v>7800</v>
      </c>
      <c r="D24" s="110">
        <v>160</v>
      </c>
      <c r="E24" s="110" t="s">
        <v>251</v>
      </c>
      <c r="F24" s="111">
        <v>10889.5</v>
      </c>
    </row>
    <row r="25" spans="1:6" ht="12.75" customHeight="1" x14ac:dyDescent="0.25">
      <c r="A25" s="110">
        <v>100</v>
      </c>
      <c r="B25" s="110">
        <v>4000</v>
      </c>
      <c r="C25" s="110">
        <v>7900</v>
      </c>
      <c r="D25" s="110">
        <v>160</v>
      </c>
      <c r="E25" s="110" t="s">
        <v>252</v>
      </c>
      <c r="F25" s="111">
        <v>17994.13</v>
      </c>
    </row>
    <row r="26" spans="1:6" ht="12.75" customHeight="1" x14ac:dyDescent="0.25">
      <c r="A26" s="110">
        <v>100</v>
      </c>
      <c r="B26" s="110">
        <v>4000</v>
      </c>
      <c r="C26" s="110">
        <v>5100</v>
      </c>
      <c r="D26" s="110">
        <v>210</v>
      </c>
      <c r="E26" s="110" t="s">
        <v>73</v>
      </c>
      <c r="F26" s="111">
        <v>2937.38</v>
      </c>
    </row>
    <row r="27" spans="1:6" ht="12.75" customHeight="1" x14ac:dyDescent="0.25">
      <c r="A27" s="110">
        <v>100</v>
      </c>
      <c r="B27" s="110">
        <v>4000</v>
      </c>
      <c r="C27" s="110">
        <v>5200</v>
      </c>
      <c r="D27" s="110">
        <v>210</v>
      </c>
      <c r="E27" s="110" t="s">
        <v>73</v>
      </c>
      <c r="F27" s="111">
        <v>262.24</v>
      </c>
    </row>
    <row r="28" spans="1:6" ht="12.75" customHeight="1" x14ac:dyDescent="0.25">
      <c r="A28" s="110">
        <v>100</v>
      </c>
      <c r="B28" s="110">
        <v>4000</v>
      </c>
      <c r="C28" s="110">
        <v>5100</v>
      </c>
      <c r="D28" s="110">
        <v>220</v>
      </c>
      <c r="E28" s="110" t="s">
        <v>74</v>
      </c>
      <c r="F28" s="111">
        <v>49609.29</v>
      </c>
    </row>
    <row r="29" spans="1:6" ht="12.75" customHeight="1" x14ac:dyDescent="0.25">
      <c r="A29" s="110">
        <v>100</v>
      </c>
      <c r="B29" s="110">
        <v>4000</v>
      </c>
      <c r="C29" s="110">
        <v>5200</v>
      </c>
      <c r="D29" s="110">
        <v>220</v>
      </c>
      <c r="E29" s="110" t="s">
        <v>74</v>
      </c>
      <c r="F29" s="111">
        <v>2816.95</v>
      </c>
    </row>
    <row r="30" spans="1:6" ht="12.75" customHeight="1" x14ac:dyDescent="0.25">
      <c r="A30" s="110">
        <v>100</v>
      </c>
      <c r="B30" s="110">
        <v>4000</v>
      </c>
      <c r="C30" s="110">
        <v>7300</v>
      </c>
      <c r="D30" s="110">
        <v>220</v>
      </c>
      <c r="E30" s="110" t="s">
        <v>74</v>
      </c>
      <c r="F30" s="111">
        <v>10315.27</v>
      </c>
    </row>
    <row r="31" spans="1:6" ht="12.75" customHeight="1" x14ac:dyDescent="0.25">
      <c r="A31" s="110">
        <v>410</v>
      </c>
      <c r="B31" s="110">
        <v>4000</v>
      </c>
      <c r="C31" s="110">
        <v>7600</v>
      </c>
      <c r="D31" s="110">
        <v>220</v>
      </c>
      <c r="E31" s="110" t="s">
        <v>74</v>
      </c>
      <c r="F31" s="111">
        <v>1451.7</v>
      </c>
    </row>
    <row r="32" spans="1:6" ht="12.75" customHeight="1" x14ac:dyDescent="0.25">
      <c r="A32" s="110">
        <v>100</v>
      </c>
      <c r="B32" s="110">
        <v>4000</v>
      </c>
      <c r="C32" s="110">
        <v>7800</v>
      </c>
      <c r="D32" s="110">
        <v>220</v>
      </c>
      <c r="E32" s="110" t="s">
        <v>74</v>
      </c>
      <c r="F32" s="111">
        <v>833.02</v>
      </c>
    </row>
    <row r="33" spans="1:7" ht="12.75" customHeight="1" x14ac:dyDescent="0.25">
      <c r="A33" s="110">
        <v>100</v>
      </c>
      <c r="B33" s="110">
        <v>4000</v>
      </c>
      <c r="C33" s="110">
        <v>7900</v>
      </c>
      <c r="D33" s="110">
        <v>220</v>
      </c>
      <c r="E33" s="110" t="s">
        <v>74</v>
      </c>
      <c r="F33" s="111">
        <v>1376.54</v>
      </c>
    </row>
    <row r="34" spans="1:7" ht="12.75" customHeight="1" x14ac:dyDescent="0.25">
      <c r="A34" s="110">
        <v>891</v>
      </c>
      <c r="B34" s="110">
        <v>4000</v>
      </c>
      <c r="C34" s="110">
        <v>9100</v>
      </c>
      <c r="D34" s="110">
        <v>220</v>
      </c>
      <c r="E34" s="110" t="s">
        <v>74</v>
      </c>
      <c r="F34" s="111">
        <v>185.7</v>
      </c>
    </row>
    <row r="35" spans="1:7" ht="12.75" customHeight="1" x14ac:dyDescent="0.25">
      <c r="A35" s="110">
        <v>100</v>
      </c>
      <c r="B35" s="110">
        <v>4000</v>
      </c>
      <c r="C35" s="110">
        <v>5100</v>
      </c>
      <c r="D35" s="110">
        <v>230</v>
      </c>
      <c r="E35" s="110" t="s">
        <v>75</v>
      </c>
      <c r="F35" s="111">
        <v>113168.68</v>
      </c>
    </row>
    <row r="36" spans="1:7" ht="12.75" customHeight="1" x14ac:dyDescent="0.25">
      <c r="A36" s="110">
        <v>100</v>
      </c>
      <c r="B36" s="110">
        <v>4000</v>
      </c>
      <c r="C36" s="110">
        <v>5200</v>
      </c>
      <c r="D36" s="110">
        <v>230</v>
      </c>
      <c r="E36" s="110" t="s">
        <v>75</v>
      </c>
      <c r="F36" s="111">
        <v>13313.24</v>
      </c>
    </row>
    <row r="37" spans="1:7" ht="12.75" customHeight="1" x14ac:dyDescent="0.25">
      <c r="A37" s="110">
        <v>100</v>
      </c>
      <c r="B37" s="110">
        <v>4000</v>
      </c>
      <c r="C37" s="110">
        <v>7300</v>
      </c>
      <c r="D37" s="110">
        <v>230</v>
      </c>
      <c r="E37" s="110" t="s">
        <v>75</v>
      </c>
      <c r="F37" s="111">
        <v>36376.79</v>
      </c>
    </row>
    <row r="38" spans="1:7" ht="12.75" customHeight="1" x14ac:dyDescent="0.25">
      <c r="A38" s="110">
        <v>410</v>
      </c>
      <c r="B38" s="110">
        <v>4000</v>
      </c>
      <c r="C38" s="110">
        <v>7600</v>
      </c>
      <c r="D38" s="110">
        <v>230</v>
      </c>
      <c r="E38" s="110" t="s">
        <v>75</v>
      </c>
      <c r="F38" s="111">
        <v>3062.88</v>
      </c>
    </row>
    <row r="39" spans="1:7" ht="12.75" customHeight="1" x14ac:dyDescent="0.25">
      <c r="A39" s="110">
        <v>100</v>
      </c>
      <c r="B39" s="110">
        <v>4000</v>
      </c>
      <c r="C39" s="110">
        <v>7800</v>
      </c>
      <c r="D39" s="110">
        <v>230</v>
      </c>
      <c r="E39" s="110" t="s">
        <v>75</v>
      </c>
      <c r="F39" s="111">
        <v>753.22</v>
      </c>
    </row>
    <row r="40" spans="1:7" ht="12.75" customHeight="1" x14ac:dyDescent="0.25">
      <c r="A40" s="110">
        <v>100</v>
      </c>
      <c r="B40" s="110">
        <v>4000</v>
      </c>
      <c r="C40" s="110">
        <v>7900</v>
      </c>
      <c r="D40" s="110">
        <v>230</v>
      </c>
      <c r="E40" s="110" t="s">
        <v>75</v>
      </c>
      <c r="F40" s="111">
        <v>1692.96</v>
      </c>
    </row>
    <row r="41" spans="1:7" ht="12.75" customHeight="1" x14ac:dyDescent="0.25">
      <c r="A41" s="110">
        <v>891</v>
      </c>
      <c r="B41" s="110">
        <v>4000</v>
      </c>
      <c r="C41" s="110">
        <v>9100</v>
      </c>
      <c r="D41" s="110">
        <v>230</v>
      </c>
      <c r="E41" s="110" t="s">
        <v>75</v>
      </c>
      <c r="F41" s="111">
        <v>479.44</v>
      </c>
      <c r="G41" s="108">
        <f>SUM(F35:F41)</f>
        <v>168847.21</v>
      </c>
    </row>
    <row r="42" spans="1:7" ht="12.75" customHeight="1" x14ac:dyDescent="0.25">
      <c r="A42" s="110">
        <v>100</v>
      </c>
      <c r="B42" s="110">
        <v>4000</v>
      </c>
      <c r="C42" s="110">
        <v>5100</v>
      </c>
      <c r="D42" s="110">
        <v>240</v>
      </c>
      <c r="E42" s="110" t="s">
        <v>76</v>
      </c>
      <c r="F42" s="111">
        <v>2227.09</v>
      </c>
    </row>
    <row r="43" spans="1:7" ht="12.75" customHeight="1" x14ac:dyDescent="0.25">
      <c r="A43" s="110">
        <v>100</v>
      </c>
      <c r="B43" s="110">
        <v>4000</v>
      </c>
      <c r="C43" s="110">
        <v>5200</v>
      </c>
      <c r="D43" s="110">
        <v>240</v>
      </c>
      <c r="E43" s="110" t="s">
        <v>76</v>
      </c>
      <c r="F43" s="111">
        <v>126.72</v>
      </c>
    </row>
    <row r="44" spans="1:7" ht="12.75" customHeight="1" x14ac:dyDescent="0.25">
      <c r="A44" s="110">
        <v>100</v>
      </c>
      <c r="B44" s="110">
        <v>4000</v>
      </c>
      <c r="C44" s="110">
        <v>7300</v>
      </c>
      <c r="D44" s="110">
        <v>240</v>
      </c>
      <c r="E44" s="110" t="s">
        <v>76</v>
      </c>
      <c r="F44" s="111">
        <v>891.96</v>
      </c>
    </row>
    <row r="45" spans="1:7" ht="12.75" customHeight="1" x14ac:dyDescent="0.25">
      <c r="A45" s="110">
        <v>410</v>
      </c>
      <c r="B45" s="110">
        <v>4000</v>
      </c>
      <c r="C45" s="110">
        <v>7600</v>
      </c>
      <c r="D45" s="110">
        <v>240</v>
      </c>
      <c r="E45" s="110" t="s">
        <v>250</v>
      </c>
      <c r="F45" s="111">
        <v>625.6</v>
      </c>
    </row>
    <row r="46" spans="1:7" ht="12.75" customHeight="1" x14ac:dyDescent="0.25">
      <c r="A46" s="110">
        <v>100</v>
      </c>
      <c r="B46" s="110">
        <v>4000</v>
      </c>
      <c r="C46" s="110">
        <v>7800</v>
      </c>
      <c r="D46" s="110">
        <v>240</v>
      </c>
      <c r="E46" s="110" t="s">
        <v>76</v>
      </c>
      <c r="F46" s="111">
        <v>180.81</v>
      </c>
    </row>
    <row r="47" spans="1:7" ht="12.75" customHeight="1" x14ac:dyDescent="0.25">
      <c r="A47" s="110">
        <v>100</v>
      </c>
      <c r="B47" s="110">
        <v>4000</v>
      </c>
      <c r="C47" s="110">
        <v>7900</v>
      </c>
      <c r="D47" s="110">
        <v>240</v>
      </c>
      <c r="E47" s="110" t="s">
        <v>76</v>
      </c>
      <c r="F47" s="111">
        <v>547.48</v>
      </c>
    </row>
    <row r="48" spans="1:7" ht="12.75" customHeight="1" x14ac:dyDescent="0.25">
      <c r="A48" s="110">
        <v>891</v>
      </c>
      <c r="B48" s="110">
        <v>4000</v>
      </c>
      <c r="C48" s="110">
        <v>9100</v>
      </c>
      <c r="D48" s="110">
        <v>240</v>
      </c>
      <c r="E48" s="110" t="s">
        <v>76</v>
      </c>
      <c r="F48" s="111">
        <v>43.87</v>
      </c>
    </row>
    <row r="49" spans="1:6" ht="12.75" customHeight="1" x14ac:dyDescent="0.25">
      <c r="A49" s="110">
        <v>100</v>
      </c>
      <c r="B49" s="110">
        <v>4000</v>
      </c>
      <c r="C49" s="110">
        <v>5100</v>
      </c>
      <c r="D49" s="110">
        <v>250</v>
      </c>
      <c r="E49" s="110" t="s">
        <v>77</v>
      </c>
      <c r="F49" s="111">
        <v>10602.89</v>
      </c>
    </row>
    <row r="50" spans="1:6" ht="12.75" customHeight="1" x14ac:dyDescent="0.25">
      <c r="A50" s="110">
        <v>100</v>
      </c>
      <c r="B50" s="110">
        <v>4000</v>
      </c>
      <c r="C50" s="110">
        <v>5200</v>
      </c>
      <c r="D50" s="110">
        <v>250</v>
      </c>
      <c r="E50" s="110" t="s">
        <v>77</v>
      </c>
      <c r="F50" s="111">
        <v>586.91999999999996</v>
      </c>
    </row>
    <row r="51" spans="1:6" ht="12.75" customHeight="1" x14ac:dyDescent="0.25">
      <c r="A51" s="110">
        <v>100</v>
      </c>
      <c r="B51" s="110">
        <v>4000</v>
      </c>
      <c r="C51" s="110">
        <v>7300</v>
      </c>
      <c r="D51" s="110">
        <v>250</v>
      </c>
      <c r="E51" s="110" t="s">
        <v>77</v>
      </c>
      <c r="F51" s="111">
        <v>1911.27</v>
      </c>
    </row>
    <row r="52" spans="1:6" ht="12.75" customHeight="1" x14ac:dyDescent="0.25">
      <c r="A52" s="110">
        <v>410</v>
      </c>
      <c r="B52" s="110">
        <v>4000</v>
      </c>
      <c r="C52" s="110">
        <v>7600</v>
      </c>
      <c r="D52" s="110">
        <v>250</v>
      </c>
      <c r="E52" s="110" t="s">
        <v>77</v>
      </c>
      <c r="F52" s="111">
        <v>346.96</v>
      </c>
    </row>
    <row r="53" spans="1:6" ht="12.75" customHeight="1" x14ac:dyDescent="0.25">
      <c r="A53" s="110">
        <v>100</v>
      </c>
      <c r="B53" s="110">
        <v>4000</v>
      </c>
      <c r="C53" s="110">
        <v>7800</v>
      </c>
      <c r="D53" s="110">
        <v>250</v>
      </c>
      <c r="E53" s="110" t="s">
        <v>77</v>
      </c>
      <c r="F53" s="111">
        <v>222.11</v>
      </c>
    </row>
    <row r="54" spans="1:6" ht="12.75" customHeight="1" x14ac:dyDescent="0.25">
      <c r="A54" s="110">
        <v>100</v>
      </c>
      <c r="B54" s="110">
        <v>4000</v>
      </c>
      <c r="C54" s="110">
        <v>7900</v>
      </c>
      <c r="D54" s="110">
        <v>250</v>
      </c>
      <c r="E54" s="110" t="s">
        <v>77</v>
      </c>
      <c r="F54" s="111">
        <v>347.11</v>
      </c>
    </row>
    <row r="55" spans="1:6" ht="12.75" customHeight="1" x14ac:dyDescent="0.25">
      <c r="A55" s="110">
        <v>891</v>
      </c>
      <c r="B55" s="110">
        <v>4000</v>
      </c>
      <c r="C55" s="110">
        <v>9100</v>
      </c>
      <c r="D55" s="110">
        <v>250</v>
      </c>
      <c r="E55" s="110" t="s">
        <v>77</v>
      </c>
      <c r="F55" s="111">
        <v>36.43</v>
      </c>
    </row>
    <row r="56" spans="1:6" ht="12.75" customHeight="1" x14ac:dyDescent="0.25">
      <c r="A56" s="110"/>
      <c r="B56" s="110"/>
      <c r="C56" s="110"/>
      <c r="D56" s="110"/>
      <c r="E56" s="110"/>
      <c r="F56" s="111">
        <f>SUM(F18:F55)</f>
        <v>1106186.25</v>
      </c>
    </row>
    <row r="57" spans="1:6" ht="12.75" customHeight="1" x14ac:dyDescent="0.25">
      <c r="A57" s="110"/>
      <c r="B57" s="110"/>
      <c r="C57" s="110"/>
      <c r="D57" s="110"/>
      <c r="E57" s="110"/>
      <c r="F57" s="111"/>
    </row>
    <row r="58" spans="1:6" ht="12.75" customHeight="1" x14ac:dyDescent="0.25">
      <c r="A58" s="110"/>
      <c r="B58" s="110"/>
      <c r="C58" s="110"/>
      <c r="D58" s="110"/>
      <c r="E58" s="110"/>
      <c r="F58" s="111"/>
    </row>
    <row r="59" spans="1:6" ht="12.75" customHeight="1" x14ac:dyDescent="0.25">
      <c r="A59" s="110">
        <v>100</v>
      </c>
      <c r="B59" s="110">
        <v>4000</v>
      </c>
      <c r="C59" s="110">
        <v>5100</v>
      </c>
      <c r="D59" s="110">
        <v>310</v>
      </c>
      <c r="E59" s="110" t="s">
        <v>89</v>
      </c>
      <c r="F59" s="111">
        <v>4254.5555555555557</v>
      </c>
    </row>
    <row r="60" spans="1:6" ht="12.75" customHeight="1" x14ac:dyDescent="0.25">
      <c r="A60" s="110">
        <v>100</v>
      </c>
      <c r="B60" s="110">
        <v>4000</v>
      </c>
      <c r="C60" s="110">
        <v>5100</v>
      </c>
      <c r="D60" s="110">
        <v>315</v>
      </c>
      <c r="E60" s="110" t="s">
        <v>80</v>
      </c>
      <c r="F60" s="111">
        <v>678.33333333333326</v>
      </c>
    </row>
    <row r="61" spans="1:6" ht="12.75" customHeight="1" x14ac:dyDescent="0.25">
      <c r="A61" s="110">
        <v>100</v>
      </c>
      <c r="B61" s="110">
        <v>4000</v>
      </c>
      <c r="C61" s="110">
        <v>5100</v>
      </c>
      <c r="D61" s="110">
        <v>355</v>
      </c>
      <c r="E61" s="110" t="s">
        <v>81</v>
      </c>
      <c r="F61" s="111">
        <v>4536.7544444444429</v>
      </c>
    </row>
    <row r="62" spans="1:6" ht="12.75" customHeight="1" x14ac:dyDescent="0.25">
      <c r="A62" s="110">
        <v>100</v>
      </c>
      <c r="B62" s="110">
        <v>4000</v>
      </c>
      <c r="C62" s="110">
        <v>5100</v>
      </c>
      <c r="D62" s="110">
        <v>390</v>
      </c>
      <c r="E62" s="110" t="s">
        <v>84</v>
      </c>
      <c r="F62" s="111">
        <v>4958.03</v>
      </c>
    </row>
    <row r="63" spans="1:6" ht="12.75" customHeight="1" x14ac:dyDescent="0.25">
      <c r="A63" s="110">
        <v>100</v>
      </c>
      <c r="B63" s="110">
        <v>4000</v>
      </c>
      <c r="C63" s="110">
        <v>5100</v>
      </c>
      <c r="D63" s="110">
        <v>510</v>
      </c>
      <c r="E63" s="110" t="s">
        <v>174</v>
      </c>
      <c r="F63" s="111">
        <v>17193.14</v>
      </c>
    </row>
    <row r="64" spans="1:6" ht="12.75" customHeight="1" x14ac:dyDescent="0.25">
      <c r="A64" s="110">
        <v>100</v>
      </c>
      <c r="B64" s="110">
        <v>4000</v>
      </c>
      <c r="C64" s="110">
        <v>5100</v>
      </c>
      <c r="D64" s="110">
        <v>520</v>
      </c>
      <c r="E64" s="110" t="s">
        <v>85</v>
      </c>
      <c r="F64" s="111">
        <v>32167.204444444447</v>
      </c>
    </row>
    <row r="65" spans="1:6" ht="12.75" customHeight="1" x14ac:dyDescent="0.25">
      <c r="A65" s="110">
        <v>100</v>
      </c>
      <c r="B65" s="110">
        <v>4000</v>
      </c>
      <c r="C65" s="110">
        <v>5100</v>
      </c>
      <c r="D65" s="110">
        <v>640</v>
      </c>
      <c r="E65" s="110" t="s">
        <v>86</v>
      </c>
      <c r="F65" s="111">
        <v>18977.52</v>
      </c>
    </row>
    <row r="66" spans="1:6" ht="12.75" customHeight="1" x14ac:dyDescent="0.25">
      <c r="A66" s="110">
        <v>100</v>
      </c>
      <c r="B66" s="110">
        <v>4000</v>
      </c>
      <c r="C66" s="110">
        <v>5100</v>
      </c>
      <c r="D66" s="110">
        <v>643</v>
      </c>
      <c r="E66" s="110" t="s">
        <v>255</v>
      </c>
      <c r="F66" s="111">
        <v>93.9</v>
      </c>
    </row>
    <row r="67" spans="1:6" ht="12.75" customHeight="1" x14ac:dyDescent="0.25">
      <c r="A67" s="110">
        <v>100</v>
      </c>
      <c r="B67" s="110">
        <v>4000</v>
      </c>
      <c r="C67" s="110">
        <v>5100</v>
      </c>
      <c r="D67" s="110">
        <v>690</v>
      </c>
      <c r="E67" s="110" t="s">
        <v>207</v>
      </c>
      <c r="F67" s="111">
        <v>1711</v>
      </c>
    </row>
    <row r="68" spans="1:6" ht="12.75" customHeight="1" x14ac:dyDescent="0.25">
      <c r="A68" s="110">
        <v>100</v>
      </c>
      <c r="B68" s="110">
        <v>4000</v>
      </c>
      <c r="C68" s="110">
        <v>5100</v>
      </c>
      <c r="D68" s="110">
        <v>750</v>
      </c>
      <c r="E68" s="110" t="s">
        <v>88</v>
      </c>
      <c r="F68" s="111">
        <v>16582.5</v>
      </c>
    </row>
    <row r="69" spans="1:6" ht="12.75" customHeight="1" x14ac:dyDescent="0.25">
      <c r="A69" s="110">
        <v>100</v>
      </c>
      <c r="B69" s="110">
        <v>4000</v>
      </c>
      <c r="C69" s="110">
        <v>5200</v>
      </c>
      <c r="D69" s="110">
        <v>310</v>
      </c>
      <c r="E69" s="110" t="s">
        <v>89</v>
      </c>
      <c r="F69" s="111">
        <v>29134.722222222219</v>
      </c>
    </row>
    <row r="70" spans="1:6" ht="12.75" customHeight="1" x14ac:dyDescent="0.25">
      <c r="A70" s="110">
        <v>100</v>
      </c>
      <c r="B70" s="110">
        <v>4000</v>
      </c>
      <c r="C70" s="110">
        <v>6400</v>
      </c>
      <c r="D70" s="110">
        <v>310</v>
      </c>
      <c r="E70" s="110" t="s">
        <v>94</v>
      </c>
      <c r="F70" s="111">
        <v>1048.6666666666667</v>
      </c>
    </row>
    <row r="71" spans="1:6" ht="12.75" customHeight="1" x14ac:dyDescent="0.25">
      <c r="A71" s="110">
        <v>100</v>
      </c>
      <c r="B71" s="110">
        <v>4000</v>
      </c>
      <c r="C71" s="110">
        <v>7100</v>
      </c>
      <c r="D71" s="110">
        <v>310</v>
      </c>
      <c r="E71" s="110" t="s">
        <v>95</v>
      </c>
      <c r="F71" s="111">
        <v>10694.444444444445</v>
      </c>
    </row>
    <row r="72" spans="1:6" ht="12.75" customHeight="1" x14ac:dyDescent="0.25">
      <c r="A72" s="110">
        <v>100</v>
      </c>
      <c r="B72" s="110">
        <v>4000</v>
      </c>
      <c r="C72" s="110">
        <v>7100</v>
      </c>
      <c r="D72" s="110">
        <v>315</v>
      </c>
      <c r="E72" s="110" t="s">
        <v>96</v>
      </c>
      <c r="F72" s="111">
        <v>0</v>
      </c>
    </row>
    <row r="73" spans="1:6" ht="12.75" customHeight="1" x14ac:dyDescent="0.25">
      <c r="A73" s="110">
        <v>100</v>
      </c>
      <c r="B73" s="110">
        <v>4000</v>
      </c>
      <c r="C73" s="110">
        <v>7100</v>
      </c>
      <c r="D73" s="110">
        <v>320</v>
      </c>
      <c r="E73" s="110" t="s">
        <v>97</v>
      </c>
      <c r="F73" s="111">
        <v>7052.72</v>
      </c>
    </row>
    <row r="74" spans="1:6" ht="12.75" customHeight="1" x14ac:dyDescent="0.25">
      <c r="A74" s="110">
        <v>100</v>
      </c>
      <c r="B74" s="110">
        <v>4000</v>
      </c>
      <c r="C74" s="110">
        <v>7100</v>
      </c>
      <c r="D74" s="110">
        <v>730</v>
      </c>
      <c r="E74" s="110" t="s">
        <v>100</v>
      </c>
      <c r="F74" s="111">
        <v>2198.4722222222222</v>
      </c>
    </row>
    <row r="75" spans="1:6" ht="12.75" customHeight="1" x14ac:dyDescent="0.25">
      <c r="A75" s="110">
        <v>100</v>
      </c>
      <c r="B75" s="110">
        <v>4000</v>
      </c>
      <c r="C75" s="110">
        <v>7100</v>
      </c>
      <c r="D75" s="110">
        <v>790</v>
      </c>
      <c r="E75" s="110" t="s">
        <v>101</v>
      </c>
      <c r="F75" s="111">
        <v>80013.990000000005</v>
      </c>
    </row>
    <row r="76" spans="1:6" ht="12.75" customHeight="1" x14ac:dyDescent="0.25">
      <c r="A76" s="110">
        <v>100</v>
      </c>
      <c r="B76" s="110">
        <v>4000</v>
      </c>
      <c r="C76" s="110">
        <v>7100</v>
      </c>
      <c r="D76" s="110">
        <v>795</v>
      </c>
      <c r="E76" s="110" t="s">
        <v>103</v>
      </c>
      <c r="F76" s="111">
        <v>518.38888888888891</v>
      </c>
    </row>
    <row r="77" spans="1:6" ht="12.75" customHeight="1" x14ac:dyDescent="0.25">
      <c r="A77" s="110">
        <v>100</v>
      </c>
      <c r="B77" s="110">
        <v>4000</v>
      </c>
      <c r="C77" s="110">
        <v>7300</v>
      </c>
      <c r="D77" s="110">
        <v>330</v>
      </c>
      <c r="E77" s="110" t="s">
        <v>98</v>
      </c>
      <c r="F77" s="111">
        <v>1753.0333333333333</v>
      </c>
    </row>
    <row r="78" spans="1:6" ht="12.75" customHeight="1" x14ac:dyDescent="0.25">
      <c r="A78" s="110">
        <v>100</v>
      </c>
      <c r="B78" s="110">
        <v>4000</v>
      </c>
      <c r="C78" s="110">
        <v>7300</v>
      </c>
      <c r="D78" s="110">
        <v>370</v>
      </c>
      <c r="E78" s="110" t="s">
        <v>107</v>
      </c>
      <c r="F78" s="111">
        <v>852.67111111111103</v>
      </c>
    </row>
    <row r="79" spans="1:6" ht="12.75" customHeight="1" x14ac:dyDescent="0.25">
      <c r="A79" s="110">
        <v>100</v>
      </c>
      <c r="B79" s="110">
        <v>4000</v>
      </c>
      <c r="C79" s="110">
        <v>7300</v>
      </c>
      <c r="D79" s="110">
        <v>390</v>
      </c>
      <c r="E79" s="110" t="s">
        <v>99</v>
      </c>
      <c r="F79" s="111">
        <v>191.88888888888891</v>
      </c>
    </row>
    <row r="80" spans="1:6" ht="12.75" customHeight="1" x14ac:dyDescent="0.25">
      <c r="A80" s="110">
        <v>100</v>
      </c>
      <c r="B80" s="110">
        <v>4000</v>
      </c>
      <c r="C80" s="110">
        <v>7300</v>
      </c>
      <c r="D80" s="110">
        <v>510</v>
      </c>
      <c r="E80" s="110" t="s">
        <v>90</v>
      </c>
      <c r="F80" s="111">
        <v>4793.5555555555547</v>
      </c>
    </row>
    <row r="81" spans="1:6" ht="12.75" customHeight="1" x14ac:dyDescent="0.25">
      <c r="A81" s="110">
        <v>100</v>
      </c>
      <c r="B81" s="110">
        <v>4000</v>
      </c>
      <c r="C81" s="110">
        <v>7400</v>
      </c>
      <c r="D81" s="110">
        <v>360</v>
      </c>
      <c r="E81" s="110" t="s">
        <v>108</v>
      </c>
      <c r="F81" s="111">
        <v>90083.59</v>
      </c>
    </row>
    <row r="82" spans="1:6" ht="12.75" customHeight="1" x14ac:dyDescent="0.25">
      <c r="A82" s="110">
        <v>100</v>
      </c>
      <c r="B82" s="110">
        <v>4000</v>
      </c>
      <c r="C82" s="110">
        <v>7400</v>
      </c>
      <c r="D82" s="110">
        <v>630</v>
      </c>
      <c r="E82" s="110" t="s">
        <v>109</v>
      </c>
      <c r="F82" s="111">
        <v>46715.4</v>
      </c>
    </row>
    <row r="83" spans="1:6" ht="12.75" customHeight="1" x14ac:dyDescent="0.25">
      <c r="A83" s="110">
        <v>100</v>
      </c>
      <c r="B83" s="110">
        <v>4000</v>
      </c>
      <c r="C83" s="110">
        <v>7500</v>
      </c>
      <c r="D83" s="110">
        <v>310</v>
      </c>
      <c r="E83" s="110" t="s">
        <v>175</v>
      </c>
      <c r="F83" s="111">
        <v>44034.245555555564</v>
      </c>
    </row>
    <row r="84" spans="1:6" ht="12.75" customHeight="1" x14ac:dyDescent="0.25">
      <c r="A84" s="110">
        <v>100</v>
      </c>
      <c r="B84" s="110">
        <v>4000</v>
      </c>
      <c r="C84" s="110">
        <v>7500</v>
      </c>
      <c r="D84" s="110">
        <v>311</v>
      </c>
      <c r="E84" s="110" t="s">
        <v>110</v>
      </c>
      <c r="F84" s="111">
        <v>16225.024444444443</v>
      </c>
    </row>
    <row r="85" spans="1:6" ht="12.75" customHeight="1" x14ac:dyDescent="0.25">
      <c r="A85" s="110">
        <v>410</v>
      </c>
      <c r="B85" s="110">
        <v>4000</v>
      </c>
      <c r="C85" s="110">
        <v>7600</v>
      </c>
      <c r="D85" s="110">
        <v>510</v>
      </c>
      <c r="E85" s="110" t="s">
        <v>122</v>
      </c>
      <c r="F85" s="111">
        <v>10863.292857142858</v>
      </c>
    </row>
    <row r="86" spans="1:6" ht="12.75" customHeight="1" x14ac:dyDescent="0.25">
      <c r="A86" s="110">
        <v>100</v>
      </c>
      <c r="B86" s="110">
        <v>4000</v>
      </c>
      <c r="C86" s="110">
        <v>7800</v>
      </c>
      <c r="D86" s="110">
        <v>460</v>
      </c>
      <c r="E86" s="110" t="s">
        <v>254</v>
      </c>
      <c r="F86" s="111">
        <v>2596.69</v>
      </c>
    </row>
    <row r="87" spans="1:6" ht="12.75" customHeight="1" x14ac:dyDescent="0.25">
      <c r="A87" s="110">
        <v>100</v>
      </c>
      <c r="B87" s="110">
        <v>4000</v>
      </c>
      <c r="C87" s="110">
        <v>7800</v>
      </c>
      <c r="D87" s="110">
        <v>730</v>
      </c>
      <c r="E87" s="110" t="s">
        <v>112</v>
      </c>
      <c r="F87" s="111">
        <v>1161.6099999999999</v>
      </c>
    </row>
    <row r="88" spans="1:6" ht="12.75" customHeight="1" x14ac:dyDescent="0.25">
      <c r="A88" s="110">
        <v>100</v>
      </c>
      <c r="B88" s="110">
        <v>4000</v>
      </c>
      <c r="C88" s="110">
        <v>7900</v>
      </c>
      <c r="D88" s="110">
        <v>310</v>
      </c>
      <c r="E88" s="110" t="s">
        <v>208</v>
      </c>
      <c r="F88" s="111">
        <v>1182</v>
      </c>
    </row>
    <row r="89" spans="1:6" ht="12.75" customHeight="1" x14ac:dyDescent="0.25">
      <c r="A89" s="110">
        <v>100</v>
      </c>
      <c r="B89" s="110">
        <v>4000</v>
      </c>
      <c r="C89" s="110">
        <v>7900</v>
      </c>
      <c r="D89" s="110">
        <v>320</v>
      </c>
      <c r="E89" s="110" t="s">
        <v>113</v>
      </c>
      <c r="F89" s="111">
        <v>2186</v>
      </c>
    </row>
    <row r="90" spans="1:6" ht="12.75" customHeight="1" x14ac:dyDescent="0.25">
      <c r="A90" s="110">
        <v>100</v>
      </c>
      <c r="B90" s="110">
        <v>4000</v>
      </c>
      <c r="C90" s="110">
        <v>7900</v>
      </c>
      <c r="D90" s="110">
        <v>370</v>
      </c>
      <c r="E90" s="110" t="s">
        <v>115</v>
      </c>
      <c r="F90" s="111">
        <v>0</v>
      </c>
    </row>
    <row r="91" spans="1:6" ht="12.75" customHeight="1" x14ac:dyDescent="0.25">
      <c r="A91" s="110">
        <v>100</v>
      </c>
      <c r="B91" s="110">
        <v>4000</v>
      </c>
      <c r="C91" s="110">
        <v>7900</v>
      </c>
      <c r="D91" s="110">
        <v>380</v>
      </c>
      <c r="E91" s="110" t="s">
        <v>116</v>
      </c>
      <c r="F91" s="111">
        <v>5286.612000000001</v>
      </c>
    </row>
    <row r="92" spans="1:6" ht="12.75" customHeight="1" x14ac:dyDescent="0.25">
      <c r="A92" s="110">
        <v>100</v>
      </c>
      <c r="B92" s="110">
        <v>4000</v>
      </c>
      <c r="C92" s="110">
        <v>7900</v>
      </c>
      <c r="D92" s="110">
        <v>390</v>
      </c>
      <c r="E92" s="110" t="s">
        <v>117</v>
      </c>
      <c r="F92" s="111">
        <v>1563.84</v>
      </c>
    </row>
    <row r="93" spans="1:6" ht="12.75" customHeight="1" x14ac:dyDescent="0.25">
      <c r="A93" s="110">
        <v>100</v>
      </c>
      <c r="B93" s="110">
        <v>4000</v>
      </c>
      <c r="C93" s="110">
        <v>7900</v>
      </c>
      <c r="D93" s="110">
        <v>430</v>
      </c>
      <c r="E93" s="110" t="s">
        <v>118</v>
      </c>
      <c r="F93" s="111">
        <v>30840.624</v>
      </c>
    </row>
    <row r="94" spans="1:6" ht="12.75" customHeight="1" x14ac:dyDescent="0.25">
      <c r="A94" s="110">
        <v>100</v>
      </c>
      <c r="B94" s="110">
        <v>4000</v>
      </c>
      <c r="C94" s="110">
        <v>7900</v>
      </c>
      <c r="D94" s="110">
        <v>510</v>
      </c>
      <c r="E94" s="110" t="s">
        <v>119</v>
      </c>
      <c r="F94" s="111">
        <v>2979.3359999999993</v>
      </c>
    </row>
    <row r="95" spans="1:6" ht="12.75" customHeight="1" x14ac:dyDescent="0.25">
      <c r="A95" s="110">
        <v>100</v>
      </c>
      <c r="B95" s="110">
        <v>4000</v>
      </c>
      <c r="C95" s="110">
        <v>8100</v>
      </c>
      <c r="D95" s="110">
        <v>350</v>
      </c>
      <c r="E95" s="110" t="s">
        <v>105</v>
      </c>
      <c r="F95" s="111">
        <v>14542.32</v>
      </c>
    </row>
    <row r="96" spans="1:6" ht="12.75" customHeight="1" x14ac:dyDescent="0.25">
      <c r="A96" s="110">
        <v>100</v>
      </c>
      <c r="B96" s="110">
        <v>4000</v>
      </c>
      <c r="C96" s="110">
        <v>8100</v>
      </c>
      <c r="D96" s="110">
        <v>510</v>
      </c>
      <c r="E96" s="110" t="s">
        <v>256</v>
      </c>
      <c r="F96" s="111">
        <v>916.89600000000007</v>
      </c>
    </row>
    <row r="97" spans="1:6" ht="12.75" customHeight="1" x14ac:dyDescent="0.25">
      <c r="A97" s="110">
        <v>100</v>
      </c>
      <c r="B97" s="110">
        <v>4000</v>
      </c>
      <c r="C97" s="110">
        <v>9200</v>
      </c>
      <c r="D97" s="110">
        <v>710</v>
      </c>
      <c r="E97" s="110" t="s">
        <v>257</v>
      </c>
      <c r="F97" s="111">
        <v>32652.44</v>
      </c>
    </row>
    <row r="98" spans="1:6" ht="12.75" customHeight="1" x14ac:dyDescent="0.25">
      <c r="A98" s="110">
        <v>100</v>
      </c>
      <c r="B98" s="110">
        <v>4000</v>
      </c>
      <c r="C98" s="110">
        <v>9200</v>
      </c>
      <c r="D98" s="110">
        <v>720</v>
      </c>
      <c r="E98" s="110" t="s">
        <v>209</v>
      </c>
      <c r="F98" s="111">
        <v>9767.56</v>
      </c>
    </row>
    <row r="99" spans="1:6" ht="12.75" customHeight="1" x14ac:dyDescent="0.25">
      <c r="A99" s="110"/>
      <c r="B99" s="110"/>
      <c r="C99" s="110"/>
      <c r="D99" s="110"/>
      <c r="E99" s="110"/>
      <c r="F99" s="111"/>
    </row>
    <row r="100" spans="1:6" ht="12.75" customHeight="1" x14ac:dyDescent="0.25">
      <c r="A100" s="110"/>
      <c r="B100" s="110"/>
      <c r="C100" s="110"/>
      <c r="D100" s="110"/>
      <c r="E100" s="110"/>
      <c r="F100" s="111" t="e">
        <v>#REF!</v>
      </c>
    </row>
    <row r="101" spans="1:6" ht="12.75" customHeight="1" x14ac:dyDescent="0.25">
      <c r="A101" s="110"/>
      <c r="B101" s="110"/>
      <c r="C101" s="110"/>
      <c r="D101" s="110"/>
      <c r="E101" s="110"/>
      <c r="F101" s="111"/>
    </row>
    <row r="102" spans="1:6" ht="12.75" hidden="1" customHeight="1" x14ac:dyDescent="0.25">
      <c r="A102" s="110">
        <v>100</v>
      </c>
      <c r="B102" s="110">
        <v>1123</v>
      </c>
      <c r="C102" s="110">
        <v>0</v>
      </c>
      <c r="D102" s="110">
        <v>0</v>
      </c>
      <c r="E102" s="110" t="s">
        <v>258</v>
      </c>
      <c r="F102" s="111">
        <v>300</v>
      </c>
    </row>
    <row r="103" spans="1:6" ht="12.75" hidden="1" customHeight="1" x14ac:dyDescent="0.25">
      <c r="A103" s="110">
        <v>100</v>
      </c>
      <c r="B103" s="110">
        <v>1130</v>
      </c>
      <c r="C103" s="110">
        <v>0</v>
      </c>
      <c r="D103" s="110">
        <v>0</v>
      </c>
      <c r="E103" s="110" t="s">
        <v>259</v>
      </c>
      <c r="F103" s="111">
        <v>-37200.22</v>
      </c>
    </row>
    <row r="104" spans="1:6" ht="12.75" hidden="1" customHeight="1" x14ac:dyDescent="0.25">
      <c r="A104" s="110">
        <v>100</v>
      </c>
      <c r="B104" s="110">
        <v>1131</v>
      </c>
      <c r="C104" s="110">
        <v>0</v>
      </c>
      <c r="D104" s="110">
        <v>0</v>
      </c>
      <c r="E104" s="110" t="s">
        <v>260</v>
      </c>
      <c r="F104" s="111">
        <v>-35082</v>
      </c>
    </row>
    <row r="105" spans="1:6" ht="12.75" hidden="1" customHeight="1" x14ac:dyDescent="0.25">
      <c r="A105" s="110">
        <v>100</v>
      </c>
      <c r="B105" s="110">
        <v>1210</v>
      </c>
      <c r="C105" s="110">
        <v>0</v>
      </c>
      <c r="D105" s="110">
        <v>0</v>
      </c>
      <c r="E105" s="110" t="s">
        <v>261</v>
      </c>
      <c r="F105" s="111">
        <v>19398.93</v>
      </c>
    </row>
    <row r="106" spans="1:6" ht="12.75" hidden="1" customHeight="1" x14ac:dyDescent="0.25">
      <c r="A106" s="110">
        <v>100</v>
      </c>
      <c r="B106" s="110">
        <v>1230</v>
      </c>
      <c r="C106" s="110">
        <v>0</v>
      </c>
      <c r="D106" s="110">
        <v>0</v>
      </c>
      <c r="E106" s="110" t="s">
        <v>262</v>
      </c>
      <c r="F106" s="111">
        <v>-6350</v>
      </c>
    </row>
    <row r="107" spans="1:6" ht="12.75" hidden="1" customHeight="1" x14ac:dyDescent="0.25">
      <c r="A107" s="110">
        <v>410</v>
      </c>
      <c r="B107" s="110">
        <v>1210</v>
      </c>
      <c r="C107" s="110">
        <v>0</v>
      </c>
      <c r="D107" s="110">
        <v>0</v>
      </c>
      <c r="E107" s="110" t="s">
        <v>261</v>
      </c>
      <c r="F107" s="111">
        <v>-1182.6099999999999</v>
      </c>
    </row>
    <row r="108" spans="1:6" ht="12.75" hidden="1" customHeight="1" x14ac:dyDescent="0.25">
      <c r="A108" s="110">
        <v>891</v>
      </c>
      <c r="B108" s="110">
        <v>1210</v>
      </c>
      <c r="C108" s="110">
        <v>0</v>
      </c>
      <c r="D108" s="110">
        <v>0</v>
      </c>
      <c r="E108" s="110" t="s">
        <v>261</v>
      </c>
      <c r="F108" s="111">
        <v>-2729.11</v>
      </c>
    </row>
    <row r="109" spans="1:6" ht="12.75" hidden="1" customHeight="1" x14ac:dyDescent="0.25">
      <c r="A109" s="110">
        <v>100</v>
      </c>
      <c r="B109" s="110">
        <v>2100</v>
      </c>
      <c r="C109" s="110">
        <v>0</v>
      </c>
      <c r="D109" s="110">
        <v>0</v>
      </c>
      <c r="E109" s="110" t="s">
        <v>263</v>
      </c>
      <c r="F109" s="111" t="e">
        <v>#REF!</v>
      </c>
    </row>
    <row r="110" spans="1:6" ht="12.75" hidden="1" customHeight="1" x14ac:dyDescent="0.25">
      <c r="A110" s="110">
        <v>100</v>
      </c>
      <c r="B110" s="110">
        <v>2120</v>
      </c>
      <c r="C110" s="110">
        <v>0</v>
      </c>
      <c r="D110" s="110">
        <v>0</v>
      </c>
      <c r="E110" s="110" t="s">
        <v>264</v>
      </c>
      <c r="F110" s="111">
        <v>-2337.8200000000002</v>
      </c>
    </row>
    <row r="111" spans="1:6" ht="12.75" hidden="1" customHeight="1" x14ac:dyDescent="0.25">
      <c r="A111" s="110">
        <v>100</v>
      </c>
      <c r="B111" s="110">
        <v>2130</v>
      </c>
      <c r="C111" s="110">
        <v>0</v>
      </c>
      <c r="D111" s="110">
        <v>0</v>
      </c>
      <c r="E111" s="110" t="s">
        <v>265</v>
      </c>
      <c r="F111" s="111">
        <v>0</v>
      </c>
    </row>
    <row r="112" spans="1:6" ht="12.75" hidden="1" customHeight="1" x14ac:dyDescent="0.25">
      <c r="A112" s="110">
        <v>100</v>
      </c>
      <c r="B112" s="110">
        <v>2210</v>
      </c>
      <c r="C112" s="110">
        <v>0</v>
      </c>
      <c r="D112" s="110">
        <v>0</v>
      </c>
      <c r="E112" s="110" t="s">
        <v>266</v>
      </c>
      <c r="F112" s="111">
        <v>-198.81</v>
      </c>
    </row>
    <row r="113" spans="1:6" ht="12.75" hidden="1" customHeight="1" x14ac:dyDescent="0.25">
      <c r="A113" s="110">
        <v>410</v>
      </c>
      <c r="B113" s="110">
        <v>2120</v>
      </c>
      <c r="C113" s="110">
        <v>0</v>
      </c>
      <c r="D113" s="110">
        <v>0</v>
      </c>
      <c r="E113" s="110" t="s">
        <v>264</v>
      </c>
      <c r="F113" s="111">
        <v>72.75</v>
      </c>
    </row>
    <row r="114" spans="1:6" ht="12.75" hidden="1" customHeight="1" x14ac:dyDescent="0.25">
      <c r="A114" s="110">
        <v>410</v>
      </c>
      <c r="B114" s="110">
        <v>2210</v>
      </c>
      <c r="C114" s="110">
        <v>0</v>
      </c>
      <c r="D114" s="110">
        <v>0</v>
      </c>
      <c r="E114" s="110" t="s">
        <v>266</v>
      </c>
      <c r="F114" s="111">
        <v>-15288.4</v>
      </c>
    </row>
    <row r="115" spans="1:6" ht="12.75" customHeight="1" x14ac:dyDescent="0.25">
      <c r="F115" s="111" t="e">
        <v>#REF!</v>
      </c>
    </row>
    <row r="116" spans="1:6" ht="12.75" customHeight="1" x14ac:dyDescent="0.25">
      <c r="F116" s="111"/>
    </row>
    <row r="117" spans="1:6" ht="12.75" customHeight="1" x14ac:dyDescent="0.25">
      <c r="F117" s="115">
        <v>42797.39</v>
      </c>
    </row>
    <row r="118" spans="1:6" ht="12.75" customHeight="1" x14ac:dyDescent="0.25">
      <c r="F118" s="111"/>
    </row>
    <row r="119" spans="1:6" ht="12.75" customHeight="1" thickBot="1" x14ac:dyDescent="0.3">
      <c r="F119" s="116" t="e">
        <v>#REF!</v>
      </c>
    </row>
    <row r="120" spans="1:6" ht="12.75" customHeight="1" thickTop="1" x14ac:dyDescent="0.25"/>
  </sheetData>
  <phoneticPr fontId="22" type="noConversion"/>
  <printOptions horizontalCentered="1"/>
  <pageMargins left="0" right="0" top="0.5" bottom="0.5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Budget Summary</vt:lpstr>
      <vt:lpstr>Budget</vt:lpstr>
      <vt:lpstr>Budget archive</vt:lpstr>
      <vt:lpstr>Rev Input</vt:lpstr>
      <vt:lpstr>Payroll</vt:lpstr>
      <vt:lpstr>Payroll Mid</vt:lpstr>
      <vt:lpstr> Expense Input</vt:lpstr>
      <vt:lpstr>CLS FY15</vt:lpstr>
      <vt:lpstr>PR </vt:lpstr>
      <vt:lpstr>FY14</vt:lpstr>
      <vt:lpstr>FY14 PR</vt:lpstr>
      <vt:lpstr>API CF Apr 10</vt:lpstr>
      <vt:lpstr>EnrNew</vt:lpstr>
      <vt:lpstr>EnrOld</vt:lpstr>
      <vt:lpstr>Inf</vt:lpstr>
      <vt:lpstr>PRInf</vt:lpstr>
      <vt:lpstr>'Budget Summary'!Print_Area</vt:lpstr>
      <vt:lpstr>' Expense Input'!Print_Titles</vt:lpstr>
      <vt:lpstr>Budget!Print_Titles</vt:lpstr>
      <vt:lpstr>'Budget archive'!Print_Titles</vt:lpstr>
      <vt:lpstr>'Budget Summary'!Print_Titles</vt:lpstr>
      <vt:lpstr>Payroll!Print_Titles</vt:lpstr>
      <vt:lpstr>'Payroll Mid'!Print_Titles</vt:lpstr>
      <vt:lpstr>RevInf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Scott</dc:creator>
  <cp:lastModifiedBy>Desirae Pratt</cp:lastModifiedBy>
  <cp:lastPrinted>2015-08-24T16:23:43Z</cp:lastPrinted>
  <dcterms:created xsi:type="dcterms:W3CDTF">2005-10-24T23:59:04Z</dcterms:created>
  <dcterms:modified xsi:type="dcterms:W3CDTF">2015-08-24T18:10:09Z</dcterms:modified>
</cp:coreProperties>
</file>